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ไตรมาส1" sheetId="1" r:id="rId1"/>
    <sheet name="ไตรมาส2" sheetId="2" r:id="rId2"/>
    <sheet name="ไตรมาส3" sheetId="3" r:id="rId3"/>
  </sheets>
  <calcPr calcId="145621"/>
</workbook>
</file>

<file path=xl/calcChain.xml><?xml version="1.0" encoding="utf-8"?>
<calcChain xmlns="http://schemas.openxmlformats.org/spreadsheetml/2006/main">
  <c r="E153" i="3" l="1"/>
  <c r="E671" i="3"/>
  <c r="E651" i="3"/>
  <c r="E669" i="3"/>
  <c r="E667" i="3"/>
  <c r="E665" i="3"/>
  <c r="E663" i="3"/>
  <c r="E661" i="3"/>
  <c r="E659" i="3"/>
  <c r="E657" i="3"/>
  <c r="E655" i="3"/>
  <c r="E653" i="3"/>
  <c r="E647" i="3"/>
  <c r="E645" i="3"/>
  <c r="E643" i="3"/>
  <c r="E641" i="3"/>
  <c r="E639" i="3"/>
  <c r="E637" i="3"/>
  <c r="E635" i="3"/>
  <c r="E633" i="3"/>
  <c r="E631" i="3"/>
  <c r="E629" i="3"/>
  <c r="E627" i="3"/>
  <c r="E625" i="3"/>
  <c r="E623" i="3"/>
  <c r="E621" i="3"/>
  <c r="E619" i="3"/>
  <c r="E617" i="3"/>
  <c r="E613" i="3"/>
  <c r="E611" i="3"/>
  <c r="E609" i="3"/>
  <c r="E607" i="3"/>
  <c r="E605" i="3"/>
  <c r="E603" i="3"/>
  <c r="E601" i="3"/>
  <c r="E599" i="3"/>
  <c r="E597" i="3"/>
  <c r="E595" i="3"/>
  <c r="E593" i="3"/>
  <c r="E591" i="3"/>
  <c r="E589" i="3"/>
  <c r="E587" i="3"/>
  <c r="E585" i="3"/>
  <c r="E579" i="3"/>
  <c r="E577" i="3"/>
  <c r="E575" i="3"/>
  <c r="E573" i="3"/>
  <c r="E571" i="3"/>
  <c r="E569" i="3"/>
  <c r="E567" i="3"/>
  <c r="E565" i="3"/>
  <c r="E563" i="3"/>
  <c r="E561" i="3"/>
  <c r="E559" i="3"/>
  <c r="E557" i="3"/>
  <c r="E555" i="3"/>
  <c r="E553" i="3"/>
  <c r="E551" i="3"/>
  <c r="E549" i="3"/>
  <c r="E545" i="3"/>
  <c r="E541" i="3"/>
  <c r="E539" i="3"/>
  <c r="E537" i="3"/>
  <c r="E535" i="3"/>
  <c r="E533" i="3"/>
  <c r="E531" i="3"/>
  <c r="E529" i="3"/>
  <c r="E527" i="3"/>
  <c r="E525" i="3"/>
  <c r="E519" i="3"/>
  <c r="E517" i="3"/>
  <c r="E515" i="3"/>
  <c r="E511" i="3"/>
  <c r="E509" i="3"/>
  <c r="E507" i="3"/>
  <c r="E505" i="3"/>
  <c r="E503" i="3"/>
  <c r="E501" i="3"/>
  <c r="E499" i="3"/>
  <c r="E497" i="3"/>
  <c r="E495" i="3"/>
  <c r="E493" i="3"/>
  <c r="E489" i="3"/>
  <c r="E487" i="3"/>
  <c r="E485" i="3"/>
  <c r="E483" i="3"/>
  <c r="E481" i="3"/>
  <c r="E477" i="3"/>
  <c r="E475" i="3"/>
  <c r="E467" i="3"/>
  <c r="E465" i="3"/>
  <c r="E463" i="3"/>
  <c r="E461" i="3"/>
  <c r="E459" i="3"/>
  <c r="E457" i="3"/>
  <c r="E455" i="3"/>
  <c r="E453" i="3"/>
  <c r="E451" i="3"/>
  <c r="E449" i="3"/>
  <c r="E447" i="3"/>
  <c r="E443" i="3"/>
  <c r="E441" i="3"/>
  <c r="E439" i="3"/>
  <c r="E437" i="3"/>
  <c r="E435" i="3"/>
  <c r="E433" i="3"/>
  <c r="E431" i="3"/>
  <c r="E429" i="3"/>
  <c r="E425" i="3"/>
  <c r="E423" i="3"/>
  <c r="E421" i="3"/>
  <c r="E419" i="3"/>
  <c r="E417" i="3"/>
  <c r="E415" i="3"/>
  <c r="E413" i="3"/>
  <c r="E203" i="3" l="1"/>
  <c r="E201" i="3"/>
  <c r="E169" i="3"/>
  <c r="E135" i="3"/>
  <c r="E133" i="3"/>
  <c r="E101" i="3"/>
  <c r="E407" i="3"/>
  <c r="E405" i="3"/>
  <c r="E403" i="3"/>
  <c r="E401" i="3"/>
  <c r="E399" i="3"/>
  <c r="E397" i="3"/>
  <c r="E393" i="3"/>
  <c r="E391" i="3"/>
  <c r="E389" i="3"/>
  <c r="E387" i="3"/>
  <c r="E383" i="3"/>
  <c r="E381" i="3"/>
  <c r="E379" i="3"/>
  <c r="E377" i="3"/>
  <c r="E373" i="3"/>
  <c r="E369" i="3"/>
  <c r="E367" i="3"/>
  <c r="E365" i="3"/>
  <c r="E363" i="3"/>
  <c r="E361" i="3"/>
  <c r="E359" i="3"/>
  <c r="E357" i="3"/>
  <c r="E355" i="3"/>
  <c r="E353" i="3"/>
  <c r="E351" i="3"/>
  <c r="E349" i="3"/>
  <c r="E345" i="3"/>
  <c r="E343" i="3"/>
  <c r="E339" i="3"/>
  <c r="E337" i="3"/>
  <c r="E335" i="3"/>
  <c r="E333" i="3"/>
  <c r="E331" i="3"/>
  <c r="E329" i="3"/>
  <c r="E327" i="3"/>
  <c r="E325" i="3"/>
  <c r="E319" i="3"/>
  <c r="E317" i="3"/>
  <c r="E315" i="3"/>
  <c r="E313" i="3"/>
  <c r="E311" i="3"/>
  <c r="E309" i="3"/>
  <c r="E305" i="3"/>
  <c r="E303" i="3"/>
  <c r="E301" i="3"/>
  <c r="E299" i="3"/>
  <c r="E297" i="3"/>
  <c r="E295" i="3"/>
  <c r="E293" i="3"/>
  <c r="E291" i="3"/>
  <c r="E289" i="3"/>
  <c r="E287" i="3"/>
  <c r="E285" i="3"/>
  <c r="E283" i="3"/>
  <c r="E281" i="3"/>
  <c r="E279" i="3"/>
  <c r="E277" i="3"/>
  <c r="E275" i="3"/>
  <c r="E271" i="3"/>
  <c r="E269" i="3"/>
  <c r="E267" i="3"/>
  <c r="E265" i="3"/>
  <c r="E263" i="3"/>
  <c r="E261" i="3"/>
  <c r="E259" i="3"/>
  <c r="E257" i="3"/>
  <c r="E255" i="3"/>
  <c r="E253" i="3"/>
  <c r="E251" i="3"/>
  <c r="E249" i="3"/>
  <c r="E247" i="3"/>
  <c r="E245" i="3"/>
  <c r="E243" i="3"/>
  <c r="E241" i="3"/>
  <c r="E237" i="3"/>
  <c r="E235" i="3"/>
  <c r="E231" i="3"/>
  <c r="E229" i="3"/>
  <c r="E227" i="3"/>
  <c r="E225" i="3"/>
  <c r="E223" i="3"/>
  <c r="E221" i="3"/>
  <c r="E217" i="3"/>
  <c r="E215" i="3"/>
  <c r="E213" i="3"/>
  <c r="E211" i="3"/>
  <c r="E209" i="3"/>
  <c r="E207" i="3"/>
  <c r="E199" i="3"/>
  <c r="E197" i="3"/>
  <c r="E195" i="3"/>
  <c r="E193" i="3"/>
  <c r="E191" i="3"/>
  <c r="E189" i="3"/>
  <c r="E187" i="3"/>
  <c r="E185" i="3"/>
  <c r="E183" i="3"/>
  <c r="E181" i="3"/>
  <c r="E179" i="3"/>
  <c r="E177" i="3"/>
  <c r="E175" i="3"/>
  <c r="E173" i="3"/>
  <c r="E24" i="3"/>
  <c r="E167" i="3"/>
  <c r="E165" i="3"/>
  <c r="E163" i="3"/>
  <c r="E161" i="3"/>
  <c r="E159" i="3"/>
  <c r="E157" i="3"/>
  <c r="E155" i="3"/>
  <c r="E151" i="3"/>
  <c r="E149" i="3"/>
  <c r="E147" i="3"/>
  <c r="E145" i="3"/>
  <c r="E143" i="3"/>
  <c r="E141" i="3"/>
  <c r="E139" i="3"/>
  <c r="E131" i="3"/>
  <c r="E129" i="3"/>
  <c r="E127" i="3"/>
  <c r="E125" i="3"/>
  <c r="E123" i="3"/>
  <c r="E121" i="3"/>
  <c r="E119" i="3"/>
  <c r="E117" i="3"/>
  <c r="E115" i="3"/>
  <c r="E113" i="3"/>
  <c r="E111" i="3"/>
  <c r="E109" i="3"/>
  <c r="E107" i="3"/>
  <c r="E105" i="3"/>
  <c r="E99" i="3"/>
  <c r="E97" i="3"/>
  <c r="E95" i="3"/>
  <c r="E93" i="3"/>
  <c r="E91" i="3"/>
  <c r="E89" i="3"/>
  <c r="E87" i="3"/>
  <c r="E85" i="3"/>
  <c r="E83" i="3"/>
  <c r="E81" i="3"/>
  <c r="E79" i="3"/>
  <c r="E77" i="3"/>
  <c r="E75" i="3"/>
  <c r="E73" i="3"/>
  <c r="E71" i="3"/>
  <c r="E67" i="3"/>
  <c r="E65" i="3"/>
  <c r="E63" i="3"/>
  <c r="E61" i="3"/>
  <c r="E59" i="3"/>
  <c r="E57" i="3"/>
  <c r="E55" i="3"/>
  <c r="E53" i="3"/>
  <c r="E51" i="3"/>
  <c r="E49" i="3"/>
  <c r="E47" i="3"/>
  <c r="E45" i="3"/>
  <c r="E43" i="3"/>
  <c r="E41" i="3"/>
  <c r="E39" i="3"/>
  <c r="E37" i="3"/>
  <c r="E32" i="3"/>
  <c r="E30" i="3"/>
  <c r="E28" i="3"/>
  <c r="E26" i="3"/>
  <c r="E20" i="3"/>
  <c r="E18" i="3"/>
  <c r="E16" i="3"/>
  <c r="E14" i="3"/>
  <c r="E12" i="3"/>
  <c r="E10" i="3"/>
  <c r="E8" i="3"/>
  <c r="E6" i="3"/>
  <c r="E94" i="2" l="1"/>
  <c r="E839" i="2" l="1"/>
  <c r="E834" i="2"/>
  <c r="E832" i="2"/>
  <c r="E830" i="2"/>
  <c r="E828" i="2"/>
  <c r="E826" i="2"/>
  <c r="E824" i="2"/>
  <c r="E822" i="2"/>
  <c r="E820" i="2"/>
  <c r="E818" i="2"/>
  <c r="E816" i="2"/>
  <c r="E814" i="2"/>
  <c r="E812" i="2"/>
  <c r="E810" i="2"/>
  <c r="E808" i="2"/>
  <c r="E806" i="2"/>
  <c r="E804" i="2"/>
  <c r="E800" i="2"/>
  <c r="E798" i="2"/>
  <c r="E796" i="2"/>
  <c r="E794" i="2"/>
  <c r="E792" i="2"/>
  <c r="E790" i="2"/>
  <c r="E788" i="2"/>
  <c r="E786" i="2"/>
  <c r="E784" i="2"/>
  <c r="E782" i="2"/>
  <c r="E780" i="2"/>
  <c r="E778" i="2"/>
  <c r="E776" i="2"/>
  <c r="E774" i="2"/>
  <c r="E772" i="2"/>
  <c r="E770" i="2"/>
  <c r="E766" i="2"/>
  <c r="E764" i="2"/>
  <c r="E762" i="2"/>
  <c r="E760" i="2"/>
  <c r="E758" i="2"/>
  <c r="E756" i="2"/>
  <c r="E754" i="2"/>
  <c r="E752" i="2"/>
  <c r="E750" i="2"/>
  <c r="E748" i="2"/>
  <c r="E746" i="2"/>
  <c r="E744" i="2"/>
  <c r="E742" i="2"/>
  <c r="E740" i="2"/>
  <c r="E738" i="2"/>
  <c r="E736" i="2"/>
  <c r="E731" i="2"/>
  <c r="E729" i="2"/>
  <c r="E727" i="2"/>
  <c r="E725" i="2"/>
  <c r="E723" i="2"/>
  <c r="E721" i="2"/>
  <c r="E719" i="2"/>
  <c r="E717" i="2"/>
  <c r="E715" i="2"/>
  <c r="E713" i="2"/>
  <c r="E711" i="2"/>
  <c r="E709" i="2"/>
  <c r="E707" i="2"/>
  <c r="E705" i="2"/>
  <c r="E703" i="2"/>
  <c r="E701" i="2"/>
  <c r="E696" i="2"/>
  <c r="E694" i="2"/>
  <c r="E692" i="2"/>
  <c r="E690" i="2"/>
  <c r="E688" i="2"/>
  <c r="E686" i="2"/>
  <c r="E684" i="2"/>
  <c r="E682" i="2"/>
  <c r="E680" i="2"/>
  <c r="E678" i="2"/>
  <c r="E676" i="2"/>
  <c r="E674" i="2"/>
  <c r="E672" i="2"/>
  <c r="E670" i="2"/>
  <c r="E668" i="2"/>
  <c r="E666" i="2"/>
  <c r="E661" i="2"/>
  <c r="E659" i="2"/>
  <c r="E657" i="2"/>
  <c r="E651" i="2"/>
  <c r="E649" i="2"/>
  <c r="E647" i="2"/>
  <c r="E645" i="2"/>
  <c r="E643" i="2"/>
  <c r="E641" i="2"/>
  <c r="E639" i="2"/>
  <c r="E637" i="2"/>
  <c r="E635" i="2"/>
  <c r="E633" i="2"/>
  <c r="E631" i="2"/>
  <c r="E626" i="2"/>
  <c r="E624" i="2"/>
  <c r="E622" i="2"/>
  <c r="E620" i="2"/>
  <c r="E618" i="2"/>
  <c r="E616" i="2"/>
  <c r="E614" i="2"/>
  <c r="E612" i="2"/>
  <c r="E610" i="2"/>
  <c r="E608" i="2"/>
  <c r="E602" i="2"/>
  <c r="E600" i="2"/>
  <c r="E598" i="2"/>
  <c r="E596" i="2"/>
  <c r="E591" i="2"/>
  <c r="E589" i="2"/>
  <c r="E587" i="2"/>
  <c r="E585" i="2"/>
  <c r="E583" i="2"/>
  <c r="E581" i="2"/>
  <c r="E579" i="2"/>
  <c r="E577" i="2"/>
  <c r="E575" i="2"/>
  <c r="E573" i="2"/>
  <c r="E571" i="2"/>
  <c r="E569" i="2"/>
  <c r="E567" i="2"/>
  <c r="E565" i="2"/>
  <c r="E554" i="2"/>
  <c r="E552" i="2"/>
  <c r="E550" i="2"/>
  <c r="E548" i="2"/>
  <c r="E540" i="2"/>
  <c r="E538" i="2"/>
  <c r="E536" i="2"/>
  <c r="E534" i="2"/>
  <c r="E532" i="2"/>
  <c r="E530" i="2"/>
  <c r="E519" i="2"/>
  <c r="E517" i="2"/>
  <c r="E515" i="2"/>
  <c r="E513" i="2"/>
  <c r="E511" i="2"/>
  <c r="E509" i="2"/>
  <c r="E507" i="2"/>
  <c r="E421" i="2"/>
  <c r="E352" i="2"/>
  <c r="E317" i="2"/>
  <c r="E282" i="2"/>
  <c r="E212" i="2"/>
  <c r="E177" i="2"/>
  <c r="E142" i="2"/>
  <c r="E137" i="2" l="1"/>
  <c r="E484" i="2" l="1"/>
  <c r="E310" i="2"/>
  <c r="E505" i="2"/>
  <c r="E503" i="2"/>
  <c r="E501" i="2"/>
  <c r="E499" i="2"/>
  <c r="E497" i="2"/>
  <c r="E495" i="2"/>
  <c r="E493" i="2"/>
  <c r="E491" i="2"/>
  <c r="E486" i="2"/>
  <c r="E482" i="2"/>
  <c r="E480" i="2"/>
  <c r="E478" i="2"/>
  <c r="E476" i="2"/>
  <c r="E474" i="2"/>
  <c r="E472" i="2"/>
  <c r="E470" i="2"/>
  <c r="E468" i="2"/>
  <c r="E466" i="2"/>
  <c r="E464" i="2"/>
  <c r="E462" i="2"/>
  <c r="E460" i="2"/>
  <c r="E458" i="2"/>
  <c r="E456" i="2"/>
  <c r="E451" i="2"/>
  <c r="E449" i="2"/>
  <c r="E445" i="2"/>
  <c r="E443" i="2"/>
  <c r="E441" i="2"/>
  <c r="E439" i="2"/>
  <c r="E437" i="2"/>
  <c r="E435" i="2"/>
  <c r="E433" i="2"/>
  <c r="E431" i="2"/>
  <c r="E427" i="2"/>
  <c r="E425" i="2"/>
  <c r="E423" i="2"/>
  <c r="E415" i="2"/>
  <c r="E413" i="2"/>
  <c r="E409" i="2"/>
  <c r="E407" i="2"/>
  <c r="E405" i="2"/>
  <c r="E403" i="2"/>
  <c r="E399" i="2"/>
  <c r="E397" i="2"/>
  <c r="E395" i="2"/>
  <c r="E393" i="2"/>
  <c r="E391" i="2"/>
  <c r="E389" i="2"/>
  <c r="E387" i="2"/>
  <c r="E376" i="2"/>
  <c r="E374" i="2"/>
  <c r="E372" i="2"/>
  <c r="E370" i="2"/>
  <c r="E368" i="2"/>
  <c r="E366" i="2"/>
  <c r="E364" i="2"/>
  <c r="E362" i="2"/>
  <c r="E360" i="2"/>
  <c r="E358" i="2"/>
  <c r="E356" i="2"/>
  <c r="E354" i="2"/>
  <c r="E347" i="2"/>
  <c r="E345" i="2"/>
  <c r="E341" i="2"/>
  <c r="E339" i="2"/>
  <c r="E337" i="2"/>
  <c r="E335" i="2"/>
  <c r="E333" i="2"/>
  <c r="E331" i="2"/>
  <c r="E329" i="2"/>
  <c r="E327" i="2"/>
  <c r="E325" i="2"/>
  <c r="E323" i="2"/>
  <c r="E321" i="2"/>
  <c r="E319" i="2"/>
  <c r="E312" i="2"/>
  <c r="E304" i="2"/>
  <c r="E302" i="2"/>
  <c r="E300" i="2"/>
  <c r="E298" i="2"/>
  <c r="E296" i="2"/>
  <c r="E294" i="2"/>
  <c r="E292" i="2"/>
  <c r="E290" i="2"/>
  <c r="E288" i="2"/>
  <c r="E286" i="2"/>
  <c r="E284" i="2"/>
  <c r="E277" i="2"/>
  <c r="E275" i="2"/>
  <c r="E273" i="2"/>
  <c r="E271" i="2"/>
  <c r="E269" i="2"/>
  <c r="E267" i="2"/>
  <c r="E265" i="2"/>
  <c r="E263" i="2"/>
  <c r="E261" i="2"/>
  <c r="E259" i="2"/>
  <c r="E257" i="2"/>
  <c r="E255" i="2"/>
  <c r="E251" i="2"/>
  <c r="E249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07" i="2"/>
  <c r="E205" i="2"/>
  <c r="E203" i="2"/>
  <c r="E201" i="2"/>
  <c r="E199" i="2"/>
  <c r="E197" i="2"/>
  <c r="E195" i="2"/>
  <c r="E191" i="2"/>
  <c r="E189" i="2"/>
  <c r="E187" i="2"/>
  <c r="E185" i="2"/>
  <c r="E183" i="2"/>
  <c r="E181" i="2"/>
  <c r="E179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0" i="2"/>
  <c r="E98" i="2"/>
  <c r="E96" i="2"/>
  <c r="E92" i="2"/>
  <c r="E90" i="2"/>
  <c r="E88" i="2"/>
  <c r="E86" i="2"/>
  <c r="E84" i="2"/>
  <c r="E82" i="2"/>
  <c r="E80" i="2"/>
  <c r="E78" i="2"/>
  <c r="E76" i="2"/>
  <c r="E74" i="2"/>
  <c r="E72" i="2"/>
  <c r="E67" i="2"/>
  <c r="E65" i="2"/>
  <c r="E63" i="2"/>
  <c r="E61" i="2"/>
  <c r="E59" i="2"/>
  <c r="E57" i="2"/>
  <c r="E55" i="2"/>
  <c r="E53" i="2"/>
  <c r="E51" i="2"/>
  <c r="E49" i="2"/>
  <c r="E45" i="2"/>
  <c r="E43" i="2"/>
  <c r="E41" i="2"/>
  <c r="E39" i="2"/>
  <c r="E37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845" i="2" l="1"/>
  <c r="E596" i="1"/>
  <c r="E594" i="1"/>
  <c r="E592" i="1"/>
  <c r="E590" i="1"/>
  <c r="E588" i="1"/>
  <c r="E586" i="1"/>
  <c r="E584" i="1"/>
  <c r="E582" i="1"/>
  <c r="E580" i="1"/>
  <c r="E578" i="1"/>
  <c r="E576" i="1"/>
  <c r="E574" i="1"/>
  <c r="E572" i="1"/>
  <c r="E568" i="1"/>
  <c r="E566" i="1"/>
  <c r="E564" i="1"/>
  <c r="E562" i="1"/>
  <c r="E560" i="1"/>
  <c r="E558" i="1"/>
  <c r="E556" i="1"/>
  <c r="E554" i="1"/>
  <c r="E552" i="1"/>
  <c r="E550" i="1"/>
  <c r="E548" i="1"/>
  <c r="E546" i="1"/>
  <c r="E544" i="1"/>
  <c r="E542" i="1"/>
  <c r="E540" i="1"/>
  <c r="E536" i="1"/>
  <c r="E534" i="1"/>
  <c r="E532" i="1"/>
  <c r="E530" i="1"/>
  <c r="E528" i="1"/>
  <c r="E526" i="1"/>
  <c r="E524" i="1"/>
  <c r="E522" i="1"/>
  <c r="E520" i="1"/>
  <c r="E518" i="1"/>
  <c r="E516" i="1"/>
  <c r="E514" i="1"/>
  <c r="E512" i="1"/>
  <c r="E510" i="1"/>
  <c r="E508" i="1"/>
  <c r="E503" i="1"/>
  <c r="E501" i="1"/>
  <c r="E499" i="1"/>
  <c r="E497" i="1"/>
  <c r="E495" i="1"/>
  <c r="E493" i="1"/>
  <c r="E491" i="1"/>
  <c r="E489" i="1"/>
  <c r="E487" i="1"/>
  <c r="E485" i="1"/>
  <c r="E483" i="1"/>
  <c r="E481" i="1"/>
  <c r="E479" i="1"/>
  <c r="E477" i="1"/>
  <c r="E473" i="1"/>
  <c r="E471" i="1"/>
  <c r="E469" i="1"/>
  <c r="E467" i="1"/>
  <c r="E465" i="1"/>
  <c r="E463" i="1"/>
  <c r="E461" i="1"/>
  <c r="E459" i="1"/>
  <c r="E457" i="1"/>
  <c r="E455" i="1"/>
  <c r="E453" i="1"/>
  <c r="E451" i="1"/>
  <c r="E449" i="1"/>
  <c r="E445" i="1"/>
  <c r="E441" i="1"/>
  <c r="E439" i="1"/>
  <c r="E437" i="1"/>
  <c r="E435" i="1"/>
  <c r="E433" i="1"/>
  <c r="E431" i="1"/>
  <c r="E429" i="1"/>
  <c r="E425" i="1"/>
  <c r="E423" i="1"/>
  <c r="E421" i="1"/>
  <c r="E419" i="1"/>
  <c r="E417" i="1"/>
  <c r="E415" i="1"/>
  <c r="E413" i="1"/>
  <c r="E409" i="1"/>
  <c r="E407" i="1"/>
  <c r="E405" i="1"/>
  <c r="E403" i="1"/>
  <c r="E401" i="1"/>
  <c r="E399" i="1"/>
  <c r="E397" i="1"/>
  <c r="E395" i="1"/>
  <c r="E393" i="1"/>
  <c r="E391" i="1"/>
  <c r="E389" i="1"/>
  <c r="E387" i="1"/>
  <c r="E385" i="1"/>
  <c r="E383" i="1"/>
  <c r="E381" i="1"/>
  <c r="E377" i="1"/>
  <c r="E375" i="1"/>
  <c r="E373" i="1"/>
  <c r="E371" i="1"/>
  <c r="E369" i="1"/>
  <c r="E367" i="1"/>
  <c r="E365" i="1"/>
  <c r="E363" i="1"/>
  <c r="E349" i="1" l="1"/>
  <c r="E25" i="1" l="1"/>
  <c r="E27" i="1"/>
  <c r="E29" i="1"/>
  <c r="E34" i="1"/>
  <c r="E36" i="1"/>
  <c r="E361" i="1"/>
  <c r="E359" i="1"/>
  <c r="E357" i="1"/>
  <c r="E355" i="1"/>
  <c r="E353" i="1"/>
  <c r="E351" i="1"/>
  <c r="E345" i="1"/>
  <c r="E343" i="1"/>
  <c r="E341" i="1"/>
  <c r="E339" i="1"/>
  <c r="E337" i="1"/>
  <c r="E335" i="1"/>
  <c r="E333" i="1"/>
  <c r="E331" i="1"/>
  <c r="E329" i="1"/>
  <c r="E327" i="1"/>
  <c r="E325" i="1"/>
  <c r="E323" i="1"/>
  <c r="E321" i="1"/>
  <c r="E319" i="1"/>
  <c r="E317" i="1"/>
  <c r="E313" i="1"/>
  <c r="E311" i="1"/>
  <c r="E309" i="1"/>
  <c r="E307" i="1"/>
  <c r="E305" i="1"/>
  <c r="E303" i="1"/>
  <c r="E301" i="1"/>
  <c r="E299" i="1"/>
  <c r="E297" i="1"/>
  <c r="E295" i="1"/>
  <c r="E293" i="1"/>
  <c r="E291" i="1"/>
  <c r="E289" i="1"/>
  <c r="E287" i="1"/>
  <c r="E285" i="1"/>
  <c r="E281" i="1"/>
  <c r="E279" i="1"/>
  <c r="E277" i="1"/>
  <c r="E275" i="1"/>
  <c r="E273" i="1"/>
  <c r="E271" i="1"/>
  <c r="E269" i="1"/>
  <c r="E267" i="1"/>
  <c r="E265" i="1"/>
  <c r="E263" i="1"/>
  <c r="E261" i="1"/>
  <c r="E259" i="1"/>
  <c r="E257" i="1"/>
  <c r="E255" i="1"/>
  <c r="E253" i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5" i="1"/>
  <c r="E223" i="1"/>
  <c r="E221" i="1"/>
  <c r="E217" i="1"/>
  <c r="E215" i="1"/>
  <c r="E213" i="1"/>
  <c r="E211" i="1"/>
  <c r="E209" i="1"/>
  <c r="E207" i="1"/>
  <c r="E205" i="1"/>
  <c r="E203" i="1"/>
  <c r="E201" i="1"/>
  <c r="E199" i="1"/>
  <c r="E197" i="1"/>
  <c r="E195" i="1"/>
  <c r="E193" i="1"/>
  <c r="E191" i="1"/>
  <c r="E189" i="1"/>
  <c r="E184" i="1"/>
  <c r="E182" i="1"/>
  <c r="E180" i="1"/>
  <c r="E178" i="1"/>
  <c r="E176" i="1"/>
  <c r="E174" i="1"/>
  <c r="E172" i="1"/>
  <c r="E170" i="1"/>
  <c r="E168" i="1"/>
  <c r="E166" i="1"/>
  <c r="E164" i="1"/>
  <c r="E162" i="1"/>
  <c r="E160" i="1"/>
  <c r="E158" i="1"/>
  <c r="E153" i="1"/>
  <c r="E151" i="1"/>
  <c r="E149" i="1"/>
  <c r="E147" i="1"/>
  <c r="E145" i="1"/>
  <c r="E143" i="1"/>
  <c r="E141" i="1"/>
  <c r="E139" i="1"/>
  <c r="E137" i="1"/>
  <c r="E129" i="1"/>
  <c r="E127" i="1"/>
  <c r="E122" i="1"/>
  <c r="E120" i="1"/>
  <c r="E118" i="1"/>
  <c r="E116" i="1"/>
  <c r="E114" i="1"/>
  <c r="E112" i="1"/>
  <c r="E110" i="1"/>
  <c r="E108" i="1"/>
  <c r="E106" i="1"/>
  <c r="E104" i="1"/>
  <c r="E102" i="1"/>
  <c r="E100" i="1"/>
  <c r="E98" i="1"/>
  <c r="E96" i="1"/>
  <c r="E91" i="1"/>
  <c r="E89" i="1"/>
  <c r="E87" i="1"/>
  <c r="E85" i="1"/>
  <c r="E83" i="1"/>
  <c r="E81" i="1"/>
  <c r="E79" i="1"/>
  <c r="E77" i="1"/>
  <c r="E75" i="1"/>
  <c r="E73" i="1"/>
  <c r="E71" i="1"/>
  <c r="E69" i="1"/>
  <c r="E67" i="1"/>
  <c r="E65" i="1"/>
  <c r="E60" i="1"/>
  <c r="E58" i="1"/>
  <c r="E56" i="1"/>
  <c r="E54" i="1"/>
  <c r="E52" i="1"/>
  <c r="E50" i="1"/>
  <c r="E48" i="1"/>
  <c r="E46" i="1"/>
  <c r="E44" i="1"/>
  <c r="E42" i="1"/>
  <c r="E40" i="1"/>
  <c r="E38" i="1"/>
</calcChain>
</file>

<file path=xl/sharedStrings.xml><?xml version="1.0" encoding="utf-8"?>
<sst xmlns="http://schemas.openxmlformats.org/spreadsheetml/2006/main" count="5967" uniqueCount="2705">
  <si>
    <t>เลขประจำตัวผู้เสียภาษี/เลขประจำตัวประชาชน (2)</t>
  </si>
  <si>
    <t>ชื่อผู้ประกอบการ (3)</t>
  </si>
  <si>
    <t>รายการพัสดุที่จัดซื้อจัดจ้าง (4)</t>
  </si>
  <si>
    <t>จำนวนเงินรวมที่จัดซื้อจัดจ้าง 
 (5)</t>
  </si>
  <si>
    <t>เอกสารอ้างอิง (6)</t>
  </si>
  <si>
    <t>เหตุผลสนับสนุน (7)</t>
  </si>
  <si>
    <t>วันที่</t>
  </si>
  <si>
    <t xml:space="preserve">เลขที่ </t>
  </si>
  <si>
    <t>งานจัดซื้อจัดจ้างทั่วไป</t>
  </si>
  <si>
    <t>0105542006174</t>
  </si>
  <si>
    <t xml:space="preserve">บริษัท ยูไนเต็ดเพาเวอร์อีควิปเม้นท์ จำกัด </t>
  </si>
  <si>
    <t>สายฉีดชำระ "HANG"</t>
  </si>
  <si>
    <t>27 ตุลาคม 2563</t>
  </si>
  <si>
    <t>210264BT001</t>
  </si>
  <si>
    <t>0105548148108</t>
  </si>
  <si>
    <t>บริษัท เบนฟิฟท์ช จำกัด</t>
  </si>
  <si>
    <t>สกรูหัวจมดำเตเปอร์ ขนาด M5x25มม.</t>
  </si>
  <si>
    <t>28 ตุลาคม 2563</t>
  </si>
  <si>
    <t>2102641A001/1</t>
  </si>
  <si>
    <t>และรายการอื่นๆรวม 3 รายการ</t>
  </si>
  <si>
    <t xml:space="preserve">สีสเปรย์รองพื้น สีเทา NO.056 ขนาดบรรจุ  </t>
  </si>
  <si>
    <t>2102641A002/1</t>
  </si>
  <si>
    <t>400 CC. "TOA"</t>
  </si>
  <si>
    <t>0105525006986</t>
  </si>
  <si>
    <t>บริษัท ไทยโพลิเมอร์ ซัพพลาย จำกัด</t>
  </si>
  <si>
    <t>POM WHITE ROD ขนาด D.40 มม.x1ม.</t>
  </si>
  <si>
    <t>2102641A003</t>
  </si>
  <si>
    <t>0123554009121</t>
  </si>
  <si>
    <t>ห้างหุ้นส่วนจำกัด พีแอนด์พี (2011)</t>
  </si>
  <si>
    <t xml:space="preserve">ว่าจ้างพร้อมอุปกรณ์ในการขึ้นรูปชิ้นงานตัดเลเซอร์เหล็กแผ่น </t>
  </si>
  <si>
    <t>2102641A004</t>
  </si>
  <si>
    <t xml:space="preserve">เพื่อใช้ผลิต FAN (IMPELLER) ชิ้นส่วนเครื่องมวนบุหรี่ G.D121 </t>
  </si>
  <si>
    <t>ว่าจ้างพร้อมอุปกรณ์ในการขึ้นรูปชิ้นงานตัดเลเซอร์เหล็กแผ่น เพื่อใช้ผลิต</t>
  </si>
  <si>
    <t>2102641A005</t>
  </si>
  <si>
    <t xml:space="preserve">FAN WHEEL (IMPELLER) ชิ้นส่วนเครื่องมวนบุหรี่ PROTOS VE90
</t>
  </si>
  <si>
    <t>0135560009708</t>
  </si>
  <si>
    <t xml:space="preserve">บริษัท โปร แพค อินโนเวชั่น จำกัด  </t>
  </si>
  <si>
    <t>ว่าจ้างพร้อมอุปกรณ์ในการขึ้นรูปชิ้นงาน SHUNT (SWITCH)</t>
  </si>
  <si>
    <t>2102641A006</t>
  </si>
  <si>
    <t>ชิ้นส่วนเครื่องห่อกระดาษแก้ว DELTA-W</t>
  </si>
  <si>
    <t>0105554066045</t>
  </si>
  <si>
    <t>บริษัท ซี เอส. เฟล็กซิเบิ้ล แอนด์ ซัพพลาย</t>
  </si>
  <si>
    <t>ว่าจ้างพร้อมอุปกรณ์ในการซ่อม เครื่องเจียรยี่ห้อ BLOHM รุ่น HFS 9</t>
  </si>
  <si>
    <t>210264C001</t>
  </si>
  <si>
    <t>จำกัด</t>
  </si>
  <si>
    <t>0105548148531</t>
  </si>
  <si>
    <t xml:space="preserve">บริษัท โปรคิวร์เมนต์ เซนเตอร์ (ประเทศไทย) </t>
  </si>
  <si>
    <t>DIGITAL PRESSURE READ OUT (TON)</t>
  </si>
  <si>
    <t>30 ตุลาคม 2563</t>
  </si>
  <si>
    <t>210264C002</t>
  </si>
  <si>
    <t>บริษัท ยูไนเต็ดเพาเวอร์อีควิปเม้นท์ จำกัด</t>
  </si>
  <si>
    <t>ข้อต่อโซ่ # 06B-1 "เรโนลด์"</t>
  </si>
  <si>
    <t>210264C003</t>
  </si>
  <si>
    <t>และรายการอื่นๆรวม 12 รายการ</t>
  </si>
  <si>
    <t>0103534017420</t>
  </si>
  <si>
    <t xml:space="preserve">ห้างหุ้นส่วนจำกัด วี.อาร์.พี.อินเตอร์เทรด </t>
  </si>
  <si>
    <t>ไฟฉุกเฉิน รุ่น NAU206 NC3 "SUNNY"</t>
  </si>
  <si>
    <t>210264P001</t>
  </si>
  <si>
    <t>0105559155062</t>
  </si>
  <si>
    <t xml:space="preserve">บริษัท เค เทรด เอ็นจิเนียริ่ง จำกัด </t>
  </si>
  <si>
    <t>เครื่องตัดไฟเบอร์ ขนาด 14" รุ่น MT M2401B "MAKITA"</t>
  </si>
  <si>
    <t>210264P002</t>
  </si>
  <si>
    <t xml:space="preserve">บริษัท เบนฟิฟท์ช จำกัด </t>
  </si>
  <si>
    <t xml:space="preserve">MICROMETER วัดใน ขนาด 25มม. - 50มม. </t>
  </si>
  <si>
    <t>210264P003</t>
  </si>
  <si>
    <t>และอื่นๆรวม 3 รายการ</t>
  </si>
  <si>
    <t xml:space="preserve">ชุดปั๊ม # 405 QS "MITSUBISHI" </t>
  </si>
  <si>
    <t>210264T001</t>
  </si>
  <si>
    <t>และอื่นๆรวม 2 รายการ</t>
  </si>
  <si>
    <t>0135547001791</t>
  </si>
  <si>
    <t xml:space="preserve">บริษัท ไฮ ทอร์ค (2004) จำกัด </t>
  </si>
  <si>
    <t xml:space="preserve">ว่าจ้างพร้อมอุปกรณ์ในการซ่อมเปลี่ยนซีลกระบอกเสาข้าง2อัน    </t>
  </si>
  <si>
    <t>210264R002</t>
  </si>
  <si>
    <t>ของรถยกไฟฟ้า "JUNGHEINRICH"</t>
  </si>
  <si>
    <t xml:space="preserve">พุกเหล็กสตัดโบลท์เหล็กชุบ ขนาด 1/4"NO.ST14 "FASTENIC" </t>
  </si>
  <si>
    <t>210264ST001</t>
  </si>
  <si>
    <t>(200ตัว/กล่อง) และอื่นๆรวม 2 รายการ</t>
  </si>
  <si>
    <t xml:space="preserve">ว่าจ้างพร้อมอุปกรณ์ในการขึ้นรูปชิ้นงานแผ่นจานอลูมิเนียมของมอเตอร์         </t>
  </si>
  <si>
    <t>210264TRJ001</t>
  </si>
  <si>
    <t>ปั๊มน้ำยา เครื่อง DOFFER</t>
  </si>
  <si>
    <t xml:space="preserve">ห้างหุ้นส่วนจำกัด พีแอนด์พี (2011) </t>
  </si>
  <si>
    <t>ว่าจ้างพร้อมอุปกรณ์ในการขึ้นรูปชิ้นงานการตัดเลเซอร์ใบมีดขูดลูกกลิ้ง</t>
  </si>
  <si>
    <t>210264TRJ002</t>
  </si>
  <si>
    <t>ชิ้นส่วนเครื่องบีบก้าน</t>
  </si>
  <si>
    <t>0105535067635</t>
  </si>
  <si>
    <t>บริษัท ทูลเทค แอนด์ เดคคอร์ จำกัด</t>
  </si>
  <si>
    <t>DISC. SPACER 2.632</t>
  </si>
  <si>
    <t>210264TRJ003</t>
  </si>
  <si>
    <t>แผ่นสแตนเลส เกรด 304 เจาะรู ขนาด 3มม.</t>
  </si>
  <si>
    <t>210264TRJ004</t>
  </si>
  <si>
    <t>ขนาด หนา 1มม.x4ฟุตx8ฟุต</t>
  </si>
  <si>
    <t>เพลา STAINLESS เกรด SUS 304 ขนาด</t>
  </si>
  <si>
    <t>210264TRJ005</t>
  </si>
  <si>
    <t>D.25มม.x6เมตร</t>
  </si>
  <si>
    <t>0125531001001</t>
  </si>
  <si>
    <t>บริษัท เซอโวไลน์ จำกัด</t>
  </si>
  <si>
    <t>ซื้ออะไหล่ในการทำ Planned Maintenance สำหรับใช้กับเครื่องห่อสิบ</t>
  </si>
  <si>
    <t>9 ตุลาคม 2563</t>
  </si>
  <si>
    <t>210664อ/วศ.1/1</t>
  </si>
  <si>
    <t>ซอง DELTA-P  หมายเลข 1,2,23,24 และ 26</t>
  </si>
  <si>
    <t>0105536091084</t>
  </si>
  <si>
    <t>บริษัท สยามโทแบคโค่แมชชีนส์ จำกัด</t>
  </si>
  <si>
    <t xml:space="preserve">ซื้ออะไหล่สำหรับใช้กับเครื่องบรรจุซอง ALFA-RAM </t>
  </si>
  <si>
    <t>210664อ/วศ.2</t>
  </si>
  <si>
    <t>0105546093071</t>
  </si>
  <si>
    <t>บริษัท คัลลัส จำกัด</t>
  </si>
  <si>
    <t xml:space="preserve">ซื้ออะไหล่ CONSUMABLE PARTS สำหรับใช้กับกลุ่มเครื่องจักรผลิตบุหรี่ </t>
  </si>
  <si>
    <t>210664อ/วศ.3</t>
  </si>
  <si>
    <t>PROTOS จำนวน 6 รายการ</t>
  </si>
  <si>
    <t>0205541003537</t>
  </si>
  <si>
    <t xml:space="preserve">บริษัท นอร์ดสัน เอ็กซ์อะลอย เอเซีย </t>
  </si>
  <si>
    <t xml:space="preserve">ซื้ออะไหล่ระบบฉีดกาวชนิดหลอมละลายด้วยความร้อน (HOT MELT) ยี่ห้อ </t>
  </si>
  <si>
    <t>210664อ/วศ.4</t>
  </si>
  <si>
    <t>(ประเทศไทย) จำกัด</t>
  </si>
  <si>
    <t>NORDSON   จำนวน 5 รายการ</t>
  </si>
  <si>
    <t>0105557055117</t>
  </si>
  <si>
    <t>บริษัท คอนโทรลเมติกส์ จำกัด</t>
  </si>
  <si>
    <t xml:space="preserve">จัดซื้ออะไหล่สำหรับใช้กับเครื่องมวนก้นกรอง MONTRADE MONO </t>
  </si>
  <si>
    <t>12 ตุลาคม 2563</t>
  </si>
  <si>
    <t>210664อ/วศ.5</t>
  </si>
  <si>
    <t>จำนวน 9 รายการ</t>
  </si>
  <si>
    <t xml:space="preserve">ซื้ออะไหล่สำหรับใช้กับเครื่องบรรจุซอง ALFA </t>
  </si>
  <si>
    <t>210664อ/วศ.6</t>
  </si>
  <si>
    <t>จำนวน 5 รายการ</t>
  </si>
  <si>
    <t>0105524013113</t>
  </si>
  <si>
    <t>บริษัท พี.ประชุม จำกัด</t>
  </si>
  <si>
    <t>210664อ/วศ.7</t>
  </si>
  <si>
    <t>HAUNI  จำนวน 5 รายการ</t>
  </si>
  <si>
    <t>210664อ/วศ.8</t>
  </si>
  <si>
    <t>210664อ/วศ.9</t>
  </si>
  <si>
    <t>จำนวน 3 รายการ</t>
  </si>
  <si>
    <t> 0105544037000</t>
  </si>
  <si>
    <t>บริษัท ศิวสิทธิ์ (กรุงเทพ) จำกัด</t>
  </si>
  <si>
    <t>สารหล่อลื่นประสิทธิภาพสูงกำจัด/ป้องกันสนิม S-15 "SUPER</t>
  </si>
  <si>
    <t>3 พฤศจิกายน 2563</t>
  </si>
  <si>
    <t>2102641A007</t>
  </si>
  <si>
    <t>สายอ่อนน้ำดี ชนิดลวดถัก ขนาด D.1/2"x40ซม.</t>
  </si>
  <si>
    <t>210264GT001</t>
  </si>
  <si>
    <t>และรายการอื่นๆรวม 2 รายการ</t>
  </si>
  <si>
    <t>สายพาน 50T20/2600 "GATES"</t>
  </si>
  <si>
    <t>210264PRJ003</t>
  </si>
  <si>
    <t>0105545121101</t>
  </si>
  <si>
    <t>บริษัท เอส เค เอส อินเตอร์พาร์ท จำกัด</t>
  </si>
  <si>
    <t>BEARING NO.7003 CDGA/P4A "SKF" และรายการอื่นๆรวม 2 รายการ</t>
  </si>
  <si>
    <t>210264PRJ004</t>
  </si>
  <si>
    <t xml:space="preserve">ว่าจ้างพร้อมอุปกรณ์ในการซ่อมเครื่องเจียร ยี่ห้อ OKAMOTO รุ่น OGM  </t>
  </si>
  <si>
    <t>210264C004</t>
  </si>
  <si>
    <t xml:space="preserve">250 EXB </t>
  </si>
  <si>
    <t>BEARING "NSK" NO.6002 ZZCM และรายการอื่นๆรวม 4 รายการ</t>
  </si>
  <si>
    <t>4 พฤศจิกายน 2563</t>
  </si>
  <si>
    <t>210264PRJ005</t>
  </si>
  <si>
    <t>BEARING GMN HYSM6002CTXMP4+DUL</t>
  </si>
  <si>
    <t>210264PRJ006</t>
  </si>
  <si>
    <t>ว่าจ้างพร้อมอุปกรณ์ในการขึ้นรูปชิ้นงาน</t>
  </si>
  <si>
    <t>210264PRJ007</t>
  </si>
  <si>
    <t>SHOULDER RING, PIN, ROLLER, BUSHING</t>
  </si>
  <si>
    <t>ว่าจ้างพร้อมอุปกรณ์ในการขึ้นรูป ASSEMBLY (PULLEY ASSY)</t>
  </si>
  <si>
    <t>210264PRJ008</t>
  </si>
  <si>
    <t>0113563000998</t>
  </si>
  <si>
    <t>ห้างหุ้นส่วนจำกัด แมส แอฟฟลูเอนท์</t>
  </si>
  <si>
    <t>BUSH SINTERED SIZE 16x26x20 และรายการอื่นๆรวม 3 รายการ</t>
  </si>
  <si>
    <t>210264PRJ009</t>
  </si>
  <si>
    <t>0103558001914</t>
  </si>
  <si>
    <t>เอ็นเทค ซิสเท็ม</t>
  </si>
  <si>
    <t>ว่าจ้างพร้อมอุปกรณ์ในการหล่อยางยูริเทน สีใส ขนาด 60x70x2.5 mm.</t>
  </si>
  <si>
    <t>210264PRJ010</t>
  </si>
  <si>
    <t>ความแข็งยาง 65 ชอร์-เอ ชิ้นส่วนแผ่นไดอะแฟรม</t>
  </si>
  <si>
    <t>ว่าจ้างพร้อมอุปกรณ์ในการขึ้นรูปชิ้นงาน RAMPIN ชิ้นส่วนเครื่องบรรจุซอง</t>
  </si>
  <si>
    <t>210264PRJ011</t>
  </si>
  <si>
    <t>ALFA</t>
  </si>
  <si>
    <t>0105560148252</t>
  </si>
  <si>
    <t>บริษัท ไอเน็กซ์ เทคโนโลยี จำกัด</t>
  </si>
  <si>
    <t>บอร์ดสื่อสาร PROFIBUS DP TO ICS 173052</t>
  </si>
  <si>
    <t>210264PRJ012</t>
  </si>
  <si>
    <t>BEARING NO.6204-2RSH "SKF"</t>
  </si>
  <si>
    <t>210264PRJ013</t>
  </si>
  <si>
    <t> 0125543004205</t>
  </si>
  <si>
    <t>บริษัท ไซเทคเอเซีย โซลูชั่น จำกัด</t>
  </si>
  <si>
    <t>"HABASIT" FLAT BELT S-10/15(S-1) pen DIMENSION 80 mm W x 50,000 mm</t>
  </si>
  <si>
    <t>210264PRJ014</t>
  </si>
  <si>
    <t>DIMENSION 80 mm W x 50,000 mmL O และรายการอื่นๆรวม 2 รายการ</t>
  </si>
  <si>
    <t>BEARING NO.7004 CTYNSULP4 "NSK"</t>
  </si>
  <si>
    <t>210264PRJ015</t>
  </si>
  <si>
    <t> 0125561000615 </t>
  </si>
  <si>
    <t>บริษัท ไฮ ทอร์ค (2004) จำกัด</t>
  </si>
  <si>
    <t>ของรถลากพาเลท HANDLIFT TRUCK(62000200-80002-1-5</t>
  </si>
  <si>
    <t>210264R003</t>
  </si>
  <si>
    <t>02)"JUNGHEINRICH"รุ่น EJE 120G11</t>
  </si>
  <si>
    <t> 0105557123309</t>
  </si>
  <si>
    <t>บริษัท ชัลเล่อร์ อินเตอร์เทรด จำกัด</t>
  </si>
  <si>
    <t>ถุงกรองฝุ่น ขนาด 51x183 CM. PE/P E554</t>
  </si>
  <si>
    <t>5 พฤศจิกายน 2563</t>
  </si>
  <si>
    <t>210264PRJ016</t>
  </si>
  <si>
    <t>สักหลาดปากถุงก้นปิดแบน</t>
  </si>
  <si>
    <t>บริษัท ยูไนเต็ดเพาเวอร์อีควิปเม้นท์</t>
  </si>
  <si>
    <t>ทองเหลืองเส้นแบน ขนาด 1"x3/8"x2 เมตร</t>
  </si>
  <si>
    <t>210264PRJ017</t>
  </si>
  <si>
    <t>EPOXY PUTTY ขนาด 1 ปอนด์ (453.6กรัม)</t>
  </si>
  <si>
    <t>210264PRJ018</t>
  </si>
  <si>
    <t>"BONDALL"</t>
  </si>
  <si>
    <t>0105534040598</t>
  </si>
  <si>
    <t>บริษัท เลพเพิร์ด อินเตอร์เทรด จำกัด</t>
  </si>
  <si>
    <t xml:space="preserve">"ESBELT" PVC CONVEYOR BELT TYPECLINA </t>
  </si>
  <si>
    <t>210264PRJ019</t>
  </si>
  <si>
    <t>13 FF SIZE W=130mm.x L=2,870 mm.</t>
  </si>
  <si>
    <t>BALL VALVE ทองเหลือง ขนาด D.3/4""KITZ"</t>
  </si>
  <si>
    <t>210264PRJ020</t>
  </si>
  <si>
    <t>และรายการอื่นๆรวม 8 รายการ</t>
  </si>
  <si>
    <t>สายพาน MICRO-V 540L (ยาว 1,371มม</t>
  </si>
  <si>
    <t>210264PRJ021</t>
  </si>
  <si>
    <t>กว้าง 55มม. 11ร่อง "GATES"</t>
  </si>
  <si>
    <t>สายพาน TOOTH BELT #450H075 "GATE</t>
  </si>
  <si>
    <t>210264PRJ022</t>
  </si>
  <si>
    <t>SILICONE GASKET MAKER HIGH-TEMP</t>
  </si>
  <si>
    <t>210264PRJ023</t>
  </si>
  <si>
    <t>ขนาด 85 g "PERMATEX"และรายการอื่นๆรวม 2 รายการ</t>
  </si>
  <si>
    <t>บริษัท ยูไนเต็ด เพาเวอร์ เอ็นจิเนียริ่ง จำกัด</t>
  </si>
  <si>
    <t>เพลาทองเหลือง ขนาด D.10มม.x2เมตร</t>
  </si>
  <si>
    <t>210264RR002</t>
  </si>
  <si>
    <t>บริษัท ไทยเทปกาวอุตสาหกรรม จำกัด</t>
  </si>
  <si>
    <t xml:space="preserve">ADHESIVE TRANSFER TAPE (เทปกาว 2 หน้า) </t>
  </si>
  <si>
    <t>6 พฤศจิกายน 2563</t>
  </si>
  <si>
    <t>210264A1</t>
  </si>
  <si>
    <t>SIZE 18 mm. x 60 Y.)</t>
  </si>
  <si>
    <t xml:space="preserve">เครื่องฉีดน้ำแรงดันสูง รุ่น K-2SERIES 420 AIR CON สามารถสร้างความดันสูงสุด </t>
  </si>
  <si>
    <t>210264P004</t>
  </si>
  <si>
    <t>และรายการอื่นๆรวม 5 รายการ</t>
  </si>
  <si>
    <t>ท่อสตีมดำ ชนิดเชื่อม ขนาด D. 3/4 "x 6 เมตร</t>
  </si>
  <si>
    <t>210264PRJ024</t>
  </si>
  <si>
    <t>BEARING NSK NO.7005 CTYNSULP4</t>
  </si>
  <si>
    <t>210264PRJ025</t>
  </si>
  <si>
    <t>INNERRING NB IR 12x15x12.5</t>
  </si>
  <si>
    <t>210264PRJ026</t>
  </si>
  <si>
    <t>HABASIT GLUE FIXOL 40 GR.</t>
  </si>
  <si>
    <t>210264PRJ027</t>
  </si>
  <si>
    <t>ว่าจ้างพร้อมอุปกรณ์ในการซ่อมเปลี่ยนลูกหมากคันส่งหัวท้าย 2 ตัว</t>
  </si>
  <si>
    <t>210264R001</t>
  </si>
  <si>
    <t>ลูกหมากปลายสกรูคอม 1 ตัว,ยางหุ้มสกรูคอม 1 ตัว, โคมไฟท้าย</t>
  </si>
  <si>
    <t>021555800064</t>
  </si>
  <si>
    <t>บริษัท อนุสรณ์ เบสเซฟ จำกัด</t>
  </si>
  <si>
    <t>ถุงมือป้องกันไฟฟ้า "NOVAX" CLASS</t>
  </si>
  <si>
    <t>210264RS001</t>
  </si>
  <si>
    <t>ป้องกันไฟฟ้า 500V.และรายการอื่นๆรวม 2 รายการ</t>
  </si>
  <si>
    <t>ห้างหุ้นส่วนจำกัด วี.อาร์.พี.อินเตอร์เทรด</t>
  </si>
  <si>
    <t xml:space="preserve">รีเลย์ MY4N-GS 24VAC "OMRON" </t>
  </si>
  <si>
    <t>11 พฤศจิกายน 2563</t>
  </si>
  <si>
    <t>210264BT002</t>
  </si>
  <si>
    <t xml:space="preserve">บัลลาสต์ HF-P 2 22-42 PL-T/C/L/TL5C EII </t>
  </si>
  <si>
    <t>210264BT003</t>
  </si>
  <si>
    <t>220-240V "PHILIPS"และอื่นๆรวม 9 รายการ</t>
  </si>
  <si>
    <t>0105538039276</t>
  </si>
  <si>
    <t>บริษัท เวิลด์ปั๊ม (ประเทศไทย) จำกัด</t>
  </si>
  <si>
    <t>"BRINKMANN" SUCTION PUMP WITH MOTOR</t>
  </si>
  <si>
    <t>210264PRJ028</t>
  </si>
  <si>
    <t>TYPE:SB-25-65BZX+435 0.22 kW F IP 55</t>
  </si>
  <si>
    <t>ข้อต่อทองเหลืองเกลียวนอก ขนาด 1/8" ยาว 1 1/2"</t>
  </si>
  <si>
    <t>210264PRJ029</t>
  </si>
  <si>
    <t>ท่อหดสีดำ ขนาด 15 มม."TWCK" และรายการอื่นๆรวม 11 รายการ</t>
  </si>
  <si>
    <t>210264ST002</t>
  </si>
  <si>
    <t>เทปสองหน้าออโต้อคริลิคโฟมเทปสีดำ NO.4229 กว้าง 12มม.</t>
  </si>
  <si>
    <t>210264ST003</t>
  </si>
  <si>
    <t>ยาว 10เมตร หนา 0.8มม. "3M"และรายการอื่นๆรวม 12 รายการ</t>
  </si>
  <si>
    <t>BOLT FOR BUCKET TYPE M8x35 CLINA</t>
  </si>
  <si>
    <t>210264TRJ006</t>
  </si>
  <si>
    <t>เทปพันเกลียว ขนาด 12มม.x0.075มม.x10เมตร</t>
  </si>
  <si>
    <t>12 พฤศจิกายน 2563</t>
  </si>
  <si>
    <t>210264BT004</t>
  </si>
  <si>
    <t>DIGITAL THERMOMETER รุ่น T6812DP08</t>
  </si>
  <si>
    <t>210264D001</t>
  </si>
  <si>
    <t>"HONEY WELL"</t>
  </si>
  <si>
    <t>บริษัท เค เทรด เอ็นจิเนียริ่ง จำกัด</t>
  </si>
  <si>
    <t xml:space="preserve">"GRUNDFOS" PUMP 0.46 kW 2900RPM50Hz. </t>
  </si>
  <si>
    <t>210264PRJ030</t>
  </si>
  <si>
    <t>3x220-240D/380-415Y V รุ่น CM3-4 A-R-G-</t>
  </si>
  <si>
    <t>0115558011032</t>
  </si>
  <si>
    <t>บริษัท มาสเตอร์ พี.เอ็ม. จำกัด</t>
  </si>
  <si>
    <t>ว่าจ้างพร้อมอุปกรณ์ในการซ่อมเครื่องปรับอากาศระบายความร้อน</t>
  </si>
  <si>
    <t>210264PRJ031</t>
  </si>
  <si>
    <t>BEARING LME 12 UU "INK"</t>
  </si>
  <si>
    <t>210264PRJ032</t>
  </si>
  <si>
    <t>ว่าจ้างพร้อมอุปกรณ์ในการขึ้นรูปชิ้นงานSEALING BLOCK ชิ้นส่วนเครื่องส่งก้นกรอง</t>
  </si>
  <si>
    <t>210264PRJ033</t>
  </si>
  <si>
    <t xml:space="preserve">FILTROMAT-S2 NO.10 </t>
  </si>
  <si>
    <t xml:space="preserve">BEARING "SKF" NO.71907 ACD/P4AQBCC </t>
  </si>
  <si>
    <t>210264PRJ034</t>
  </si>
  <si>
    <t>0125539006541</t>
  </si>
  <si>
    <t>บริษัท อดิศรเอ็นจิเนียริ่ง จำกัด</t>
  </si>
  <si>
    <t>PRESSURE REDUCING VALVE BODY:CAST STEEL</t>
  </si>
  <si>
    <t>210264PRJ035</t>
  </si>
  <si>
    <t>(A216 WCB) PN16 DN40 SET PRESSURE :8</t>
  </si>
  <si>
    <t>บริษัท พี.ประชุม  จำกัด</t>
  </si>
  <si>
    <t>WHEEL SWIVEL dia. 150x35 mm. WITH BRAKE PLATE</t>
  </si>
  <si>
    <t>13 พฤศจิกายน 2563</t>
  </si>
  <si>
    <t>210264A2</t>
  </si>
  <si>
    <t>0105552130391</t>
  </si>
  <si>
    <t>LAMP SOURCE และรายการอื่นๆรวม 2 รายการ</t>
  </si>
  <si>
    <t>210264A3</t>
  </si>
  <si>
    <t>ว่าจ้างพร้อมอุปกรณ์ในการหล่อยาง ยูริเทน สีแดง ขนาด 32x16มม.</t>
  </si>
  <si>
    <t>16 พฤศจิกายน 2563</t>
  </si>
  <si>
    <t>2102641A008</t>
  </si>
  <si>
    <t>ความแข็งยาง 80 ชอร์-เอ ชิ้นส่วนชุด ROLLER ASSY</t>
  </si>
  <si>
    <t>ว่าจ้างพร้อมอุปกรณ์ในการหล่อยาง ยูริเทนสีแดง ขนาด 32x14มม. ความแข็งยาง 80</t>
  </si>
  <si>
    <t xml:space="preserve"> 2102641A009</t>
  </si>
  <si>
    <t>ชอร์-เอ ชิ้นส่วนชุด ASSEMBLY (ROLLERASSY)</t>
  </si>
  <si>
    <t xml:space="preserve"> เกรด S45C SIZE : DIA. 170x300 และรายการอื่นๆรวม 4 รายการ</t>
  </si>
  <si>
    <t>2102641A010</t>
  </si>
  <si>
    <t xml:space="preserve">ว่าจ้างพร้อมอุปกรณ์ในการขึ้นรูปชิ้นงานดุม FAN WHEEL (IMPELLER)
</t>
  </si>
  <si>
    <t>2102641A011</t>
  </si>
  <si>
    <t xml:space="preserve">ชิ้นส่วนเครื่องมวนบุหรี่ PROTOS VE 90
</t>
  </si>
  <si>
    <t xml:space="preserve">CUT OFF KNIVES   </t>
  </si>
  <si>
    <t>210264A4</t>
  </si>
  <si>
    <t>หลอดนีออน TL5 28W/865 "PHILIPS" และรายการอื่นๆรวม 3 รายการ</t>
  </si>
  <si>
    <t>210264BT005</t>
  </si>
  <si>
    <t xml:space="preserve">ว่าจ้างพร้อมอุปกรณ์ในการซ่อมสว่านกระแทก ยี่ห้อ MAKITA รุ่น 8035NB
</t>
  </si>
  <si>
    <t>210264C005</t>
  </si>
  <si>
    <t>ที่หน่วยให้ความชื้นและบีบก้าน</t>
  </si>
  <si>
    <t>ว่าจ้างพร้อมอุปกรณ์ในการซ่อมเครื่องตัดโลหะแผ่น ยี่ห้อ LVD</t>
  </si>
  <si>
    <t>210264C006</t>
  </si>
  <si>
    <t>แมกเนติก DILM65 220VAC "EATON"</t>
  </si>
  <si>
    <t>210264RR003</t>
  </si>
  <si>
    <t>0135549011033</t>
  </si>
  <si>
    <t>บริษัท อินดัสเตรียล ซัพพอร์ต กรุ๊ป จำกัด</t>
  </si>
  <si>
    <t xml:space="preserve">ว่าจ้างพร้อมอุปกรณ์ในการซ่อมชุด SOFT START สำหรับปั๊มน้ำเย็นเครื่องที่ 18
    </t>
  </si>
  <si>
    <t>210264RR004</t>
  </si>
  <si>
    <t>0115543001931</t>
  </si>
  <si>
    <t>บริษัท โปร-เมทริค ซิสเต็มส์ จำกัด</t>
  </si>
  <si>
    <t>ว่าจ้างพร้อมอุปกรณ์ในการซ่อมเปลี่ยนกระจกตู้ FIRE HOSE REEL</t>
  </si>
  <si>
    <t>17 พฤศจิกายน 2563</t>
  </si>
  <si>
    <t xml:space="preserve"> 210264BT006</t>
  </si>
  <si>
    <t>สายอ่อนน้ำดี ชนิดลวดถัก ขนาด 1/2"x60cm.</t>
  </si>
  <si>
    <t>210264BT007</t>
  </si>
  <si>
    <t>GAS SPRING 1018021-000-00 XM0000</t>
  </si>
  <si>
    <t>210264PRJ036</t>
  </si>
  <si>
    <t xml:space="preserve">บริษัท ไซเทคเอเซีย โซลูชั่น จำกัด </t>
  </si>
  <si>
    <t xml:space="preserve">"HABASIT" FLAT BELT S-10/15(S-1) DIMENSION : 80 mm. W x 2,140 mmL  </t>
  </si>
  <si>
    <t xml:space="preserve"> 210264PRJ037</t>
  </si>
  <si>
    <t>ENDLESS</t>
  </si>
  <si>
    <t xml:space="preserve">บริษัท เลพเพิร์ด อินเตอร์เทรด จำกัด </t>
  </si>
  <si>
    <t>"ESBELT" PVC.CONVEYOR BELT TYPE CLINA 07 CF SIZE W= 388 mm</t>
  </si>
  <si>
    <t>210264PRJ038</t>
  </si>
  <si>
    <t xml:space="preserve">บริษัท เอส เค เอส อินเตอร์พาร์ท จำกัด </t>
  </si>
  <si>
    <t xml:space="preserve">BEARING NO.61818-Y "FAG" </t>
  </si>
  <si>
    <t>210264PRJ039</t>
  </si>
  <si>
    <t>0135547004005</t>
  </si>
  <si>
    <t>บริษัท เอเชียโรลเลอร์ จำกัด</t>
  </si>
  <si>
    <t>"ASIA ROLLER" STEEL SPROCKET 9T</t>
  </si>
  <si>
    <t xml:space="preserve"> 210264PRJ040</t>
  </si>
  <si>
    <t>สกรูเหล็กดำหัวจมมีแหวนรองในตัว ขนาด 5x8 มม. เกรดความแข็ง 12.9</t>
  </si>
  <si>
    <t>210264PRJ041</t>
  </si>
  <si>
    <t>และรายการอื่นๆรวม 6 รายการ</t>
  </si>
  <si>
    <t xml:space="preserve">บริษัท เอส เค เอส อินเตอร์พาร์ท จำกัด  </t>
  </si>
  <si>
    <t>BEARING NO.626-2RSH "SKF"</t>
  </si>
  <si>
    <t>210264PRJ042</t>
  </si>
  <si>
    <t>และรายการอื่นๆรวม 10 รายการ</t>
  </si>
  <si>
    <t>MAGNETIC CONTACTOR 3 POLE 220-240V รุ่น</t>
  </si>
  <si>
    <t>18 พฤศจิกายน 2563</t>
  </si>
  <si>
    <t>210264PRJ043</t>
  </si>
  <si>
    <t>SK09A-P-10 "FUJI" และรายการอื่นๆรวม 3 รายการ</t>
  </si>
  <si>
    <t xml:space="preserve">บริษัท มาสเตอร์ พี.เอ็ม. จำกัด  </t>
  </si>
  <si>
    <t xml:space="preserve">ว่าจ้างพร้อมอุปกรณ์ในการซ่อมเครื่องปรับอากาศตู้ควบคุมไฟฟ้า
</t>
  </si>
  <si>
    <t xml:space="preserve"> 210264PRJ044</t>
  </si>
  <si>
    <t xml:space="preserve">ของเครื่อง ALFA RAM NO.35 </t>
  </si>
  <si>
    <t>0125562024844</t>
  </si>
  <si>
    <t>บริษัท เดอะ ฟิวเจอร์ อัพ จำกัด</t>
  </si>
  <si>
    <t xml:space="preserve"> SIMATIC S7-300,CPU 314C-2 DP COMPACT   CPU WITH MPI</t>
  </si>
  <si>
    <t>210264PRJ045</t>
  </si>
  <si>
    <t>คอนแทคช่วย DILA-XI22 "EATON" และรายการอื่นๆรวม 3 รายการ</t>
  </si>
  <si>
    <t>210264PRJ046</t>
  </si>
  <si>
    <t>0105544023092</t>
  </si>
  <si>
    <t>บริษัท เอส.เอส.อัลลายแอนซ์ จำกัด</t>
  </si>
  <si>
    <t xml:space="preserve">BUTTERFLY VALVE LUG TYPE 200PSI เปิด-ปิดด้วยระบบ GEAR OPERATION </t>
  </si>
  <si>
    <t>210264RR005</t>
  </si>
  <si>
    <t>"MUELLER"</t>
  </si>
  <si>
    <t xml:space="preserve">บริษัท เอส.เอส.อัลลายแอนซ์ จำกัด  </t>
  </si>
  <si>
    <t xml:space="preserve">SILENT CHECK VALVE ขนาด 4" "VALMATIC"รุ่น 1800 SERIES,FLANGED </t>
  </si>
  <si>
    <t>210264RR006</t>
  </si>
  <si>
    <t xml:space="preserve">CONNECTION ANSI125
</t>
  </si>
  <si>
    <t xml:space="preserve">ว่าจ้างพร้อมอุปกรณ์ในการซ่อมปั๊ม SEPARATOR ตัวที่ 2.2 </t>
  </si>
  <si>
    <t>210264RR009</t>
  </si>
  <si>
    <t>(B02-2PUS2.2)</t>
  </si>
  <si>
    <t xml:space="preserve">DIGITAL THERMOMETER รุ่น T6812DP08"HONEY WELL"
</t>
  </si>
  <si>
    <t>210264RR010</t>
  </si>
  <si>
    <t xml:space="preserve">ก๊อกสำหรับตู้กดน้ำดื่ม สีแดง ขนาด 1/2" </t>
  </si>
  <si>
    <t>210264RR011</t>
  </si>
  <si>
    <t>0103556009691</t>
  </si>
  <si>
    <t xml:space="preserve">ว่าจ้างพร้อมอุปกรณ์ในการเดินท่อร้อยสายไฟฟ้า ของเครื่องปรับอากาศ </t>
  </si>
  <si>
    <t>210264RR012</t>
  </si>
  <si>
    <t xml:space="preserve">DIGITAL THERMOMETER รุ่น T6812DP08 "HONEY WELL"
</t>
  </si>
  <si>
    <t>210264RRJ001</t>
  </si>
  <si>
    <t xml:space="preserve">ว่าจ้างพร้อมอุปกรณ์ในการหล่อยาง ยูริเทนสีแดง ขนาด 32 x 16 mm. </t>
  </si>
  <si>
    <t>24 พฤศจิกายน 2563</t>
  </si>
  <si>
    <t xml:space="preserve">2102641A012 </t>
  </si>
  <si>
    <t xml:space="preserve">ความแข็งยาง 80 ชอร์-เอ ชิ้นส่วนเครื่อง ALFA </t>
  </si>
  <si>
    <t>BEARING SKF No.607-2RSH และรายการอื่นๆรวม 2 รายการ</t>
  </si>
  <si>
    <t>2102641A013</t>
  </si>
  <si>
    <t>BEARING SKF No.HK 0810</t>
  </si>
  <si>
    <t>2102641A014</t>
  </si>
  <si>
    <t>0143553002041</t>
  </si>
  <si>
    <t>ห้างหุ้นส่วนจำกัด เจ็ท วิศวกรรม</t>
  </si>
  <si>
    <t>ว่าจ้างพร้อมอุปกรณ์ในการซ่อมระบบบำบัดน้ำเสีย</t>
  </si>
  <si>
    <t>210264BT008</t>
  </si>
  <si>
    <t>"CONTITECH" สายพาน # PL1613/635L 31 (9ร่อง)</t>
  </si>
  <si>
    <t>210264PRJ047</t>
  </si>
  <si>
    <t xml:space="preserve"> 210264PRJ048</t>
  </si>
  <si>
    <t>BEARING SKF NO.EE 3 TN9</t>
  </si>
  <si>
    <t xml:space="preserve">210264PRJ049 </t>
  </si>
  <si>
    <t>ว่าจ้างพร้อมอุปกรณ์ในการซ่อมเปลี่ยน BEARING SENSOR MOTOR HYDRAULIC</t>
  </si>
  <si>
    <t>25 พฤศจิกายน 2563</t>
  </si>
  <si>
    <t>210264R005</t>
  </si>
  <si>
    <t>ของรถยกไฟฟ้า"JUNGHEINRICH"</t>
  </si>
  <si>
    <t>ว่าจ้างพร้อมอุปกรณ์ในการซ่อมเปลี่ยนไมโครสวิทช์ ของตู้ชาร์จรถยกโฟล์คลิฟท์</t>
  </si>
  <si>
    <t>210264R006</t>
  </si>
  <si>
    <t xml:space="preserve">ว่าจ้างพร้อมอุปกรณ์ในการซ่อมเปลี่ยน BOARD CONTROL, ชุดคานหลัง,
</t>
  </si>
  <si>
    <t>210264R007</t>
  </si>
  <si>
    <t xml:space="preserve">ชุดซีลกระบอกเสาข้าง </t>
  </si>
  <si>
    <t xml:space="preserve">บริษัท ยูไนเต็ดเพาเวอร์อีควิปเม้นท์ จำกัด                           </t>
  </si>
  <si>
    <t>ท่อเหล็กอาบสังกะสี ขนาด 1 1/4"x6เมตร(คาดน้ำเงิน)</t>
  </si>
  <si>
    <t>210264RR013</t>
  </si>
  <si>
    <t>หลอดนีออนกลม LED รุ่น CEILING KIT 24W  DAYLIGHT 6500K "EVE"</t>
  </si>
  <si>
    <t>210264RR015</t>
  </si>
  <si>
    <t>0107557000217</t>
  </si>
  <si>
    <t>บริษัท หาญ เอ็นจิเนียริ่ง โซลูชั่นส์ จำกัด(มหาชน)</t>
  </si>
  <si>
    <t xml:space="preserve">ว่าจ้างพร้อมอุปกรณ์ในการตรวจซ่อมเครื่องทำความเย็นเลเซอร์ </t>
  </si>
  <si>
    <t>26 พฤศจิกายน 2563</t>
  </si>
  <si>
    <t>210264PRJ050</t>
  </si>
  <si>
    <t>ยูโบลท์ ขนาด 3/4" และรายการอื่นๆรวม 6 รายการ</t>
  </si>
  <si>
    <t>210264PRJ051</t>
  </si>
  <si>
    <t xml:space="preserve">EXTENSION SHAFT NZM1/2-XV4 "EATON" </t>
  </si>
  <si>
    <t>210264PRJ052</t>
  </si>
  <si>
    <t>0105533093841</t>
  </si>
  <si>
    <t>บริษัท  ออโตเมติก แมชชินเนอร์รี่ จำกัด</t>
  </si>
  <si>
    <t xml:space="preserve">LPA 53MM. PRINT ROLLER ASSEMBLY(5W406997)
</t>
  </si>
  <si>
    <t>210264PRJ053</t>
  </si>
  <si>
    <t>ฟิวส์กระบอก ขนาด 10x38มม. 10A Gg "MERSEN"</t>
  </si>
  <si>
    <t xml:space="preserve">210264RR016 </t>
  </si>
  <si>
    <t>0105501000864</t>
  </si>
  <si>
    <t>บริษัท ริคเคอร์มานน์ (ไทยแลนด์) จำกัด</t>
  </si>
  <si>
    <t xml:space="preserve">Reversing starter High Feature; Electronic switching : 3RK 1308-0BC00-
</t>
  </si>
  <si>
    <t>210264TRJ007</t>
  </si>
  <si>
    <t xml:space="preserve">0CP0 "SIEMENS"และรายการอื่นๆรวม 4 รายการ
</t>
  </si>
  <si>
    <t xml:space="preserve"> บริษัท เค เทรด เอ็นจิเนียริ่ง จำกัด</t>
  </si>
  <si>
    <t>BEARING ADAPTER NTN No.H2313X</t>
  </si>
  <si>
    <t>210264TRJ008</t>
  </si>
  <si>
    <t>"ESBELT" PVC.CONVEYOR BELT TYPE CLINA  21 CF SIZE W=1,000</t>
  </si>
  <si>
    <t>210264TRJ009</t>
  </si>
  <si>
    <t>x L=35,000 mm.</t>
  </si>
  <si>
    <t>บริษัท โปร แพค อินโนเวชั่น จำกัด</t>
  </si>
  <si>
    <t>ว่าจ้างพร้อมอุปกรณ์ในการขึ้นรูปชิ้นงานชุด NUT ยึดท่อส่งยาเส้น ของ SILO</t>
  </si>
  <si>
    <t>210264TRJ010</t>
  </si>
  <si>
    <t>และ MINI SILO เนื้อวัสดุเป็น SUS 304</t>
  </si>
  <si>
    <t>0143556002174</t>
  </si>
  <si>
    <t>ห้างหุ้นส่วนจำกัด ทีแอล โกร แอดวานซ์</t>
  </si>
  <si>
    <t>คานหนาม AUTO FEED ขนาด กว้าง 30mm.xยาว  1,080mm.xสูง 50mm.</t>
  </si>
  <si>
    <t>210264TRJ011</t>
  </si>
  <si>
    <t>วัสดุ SUS 304</t>
  </si>
  <si>
    <t>แผ่นเจียรเหล็ก ขนาด 4"x4มม. "MAKITA"(25 แผ่น/กล่อง)</t>
  </si>
  <si>
    <t>210264TRJ012</t>
  </si>
  <si>
    <t>และรายการอื่นๆรวม 9 รายการ</t>
  </si>
  <si>
    <t xml:space="preserve">ว่าจ้างพร้อมอุปกรณ์ในการซ่อม PROCESSTANK V-20 </t>
  </si>
  <si>
    <t>210264TRJ013</t>
  </si>
  <si>
    <t>กาวลาเท็กซ์ NO.1035 ขนาด 32 ออนซ์ "ตราจระเข้เหยียบโลก"</t>
  </si>
  <si>
    <t>210264V001</t>
  </si>
  <si>
    <t xml:space="preserve">ลวดเชื่อมไฟฟ้า RB-26 ขนาด 3.2 มม.x350มม. "KOBE" (4ห่อ/กล่อง)
</t>
  </si>
  <si>
    <t>27 พฤศจิกายน 2563</t>
  </si>
  <si>
    <t xml:space="preserve"> 2102641A015</t>
  </si>
  <si>
    <t>BEARING SKF 71907 ACD/P4AQBCC</t>
  </si>
  <si>
    <t>210264A10</t>
  </si>
  <si>
    <t>0105539105931</t>
  </si>
  <si>
    <t>บริษัท ยูบิ๊ก จำกัด</t>
  </si>
  <si>
    <t>SOLENOID VALVE 1/8" 24VDC (17.1W) "MAC"111B-871JB</t>
  </si>
  <si>
    <t>210264A11</t>
  </si>
  <si>
    <t>CONVEYOR BELT</t>
  </si>
  <si>
    <t>210264A12</t>
  </si>
  <si>
    <t>CAM  และรายการอื่นๆรวม 2 รายการ</t>
  </si>
  <si>
    <t>210264A13</t>
  </si>
  <si>
    <t>บริษัท เอ็นดี อิเลคทริค จำกัด</t>
  </si>
  <si>
    <t>SAFETY SYSTEM PNOZ MULTI BASE MODULEPNOZ MLP ETH "PILZ"</t>
  </si>
  <si>
    <t>210264A14</t>
  </si>
  <si>
    <t>บริษัท ทอมโก้ ออโตเมติก แมชชินเนอร์รี่ จำกัด</t>
  </si>
  <si>
    <t>PRINTHEAD ASSEMBLY 53 MM FOR VJ9550</t>
  </si>
  <si>
    <t>210264A15</t>
  </si>
  <si>
    <t>บริษัท เอพีที กรุ๊ป จำกัด</t>
  </si>
  <si>
    <t>CARBON VANE Size 4x40x95 mm. GradeT305PF/K</t>
  </si>
  <si>
    <t>210264A16</t>
  </si>
  <si>
    <t>บริษัท กู๊ดลัค ซัพพลาย แอนด์ เซอร์วิส จำกัด</t>
  </si>
  <si>
    <t>FREE ROLLER#STEEL ท่อ Dia 60.3xL=1,050  mm.</t>
  </si>
  <si>
    <t>210264A17</t>
  </si>
  <si>
    <t>เพลากลม Dia 20xL=1,080 mm.</t>
  </si>
  <si>
    <t> 0105548148531</t>
  </si>
  <si>
    <t>บริษัท สี่มณฑล อุตสาหกรรม จำกัด</t>
  </si>
  <si>
    <t>GAS SPRING รุ่น BP257</t>
  </si>
  <si>
    <t>210264A18</t>
  </si>
  <si>
    <t>0115551002801</t>
  </si>
  <si>
    <t>FREE ROLLER OD38 , ID15 , L100</t>
  </si>
  <si>
    <t>210264A19</t>
  </si>
  <si>
    <t>0105536023771</t>
  </si>
  <si>
    <t>บริษัท เอ็นเดรส แอนด์ เฮาเซอร์(ไทยแลนด์) จำกัด</t>
  </si>
  <si>
    <t>EASYTEMP TMR31, COMPACT THERMOMETER"ENDRESS AND HAUSER"</t>
  </si>
  <si>
    <t>210264A20</t>
  </si>
  <si>
    <t>TMR31-A1ACBBAC1AAA และรายการอื่นๆรวม 3 รายการ</t>
  </si>
  <si>
    <t> 0105542011976</t>
  </si>
  <si>
    <t>บริษัท ไซ-อาร์กัส จำกัด</t>
  </si>
  <si>
    <t>"LENZE" INVERTER i510-C0.37/400-3,0.37KW, 0.5HP</t>
  </si>
  <si>
    <t>210264A21</t>
  </si>
  <si>
    <t>0105535105057</t>
  </si>
  <si>
    <t>บริษัท เฟสโต้ จำกัด</t>
  </si>
  <si>
    <t>CPV MANIFOLD "FESTO" 10P-14-6B-MP-R-U- 6J+UYA</t>
  </si>
  <si>
    <t>210264A5</t>
  </si>
  <si>
    <t>0105558181868</t>
  </si>
  <si>
    <t>บริษัท 168 อินเตอร์เนชั่นแนลเทรด จำกัด</t>
  </si>
  <si>
    <t>SEAMLESS BELT W: 35 mm.x L: 1,035 mm.</t>
  </si>
  <si>
    <t>210264A6</t>
  </si>
  <si>
    <t>0105556047056</t>
  </si>
  <si>
    <t>บริษัท อ๊อซซาโก้ จำกัด</t>
  </si>
  <si>
    <t>BACKPLATE-D SEAL F3218</t>
  </si>
  <si>
    <t>210264A7</t>
  </si>
  <si>
    <t> 0105554114465</t>
  </si>
  <si>
    <t>บริษัท อินโนเทค เบลท์ติ้ง จำกัด</t>
  </si>
  <si>
    <t>BELT GREEN-YELLOW SIZE W: 95 mm. x L:50 M.x T: 1.5 mm.</t>
  </si>
  <si>
    <t>210264A8</t>
  </si>
  <si>
    <t>0135556008727</t>
  </si>
  <si>
    <t>บริษัท ฐิโอกะ เอ็นเตอร์ไพร์ส จำกัด</t>
  </si>
  <si>
    <t>"IFM" RETRO-REFLECTIVE SENSOR MODEL:</t>
  </si>
  <si>
    <t>210264A9</t>
  </si>
  <si>
    <t>O5G500/O5GFAKG/US100 RANGE 0…1.5m</t>
  </si>
  <si>
    <t>ว่าจ้างพร้อมอุปกรณ์ในการขึ้นรูป ชิ้นงาน CONTAINER FOR WHEEL</t>
  </si>
  <si>
    <t>210264PRJ054</t>
  </si>
  <si>
    <t xml:space="preserve">ว่าจ้างพร้อมอุปกรณ์ในการหล่อยาง ยูริเทนสีส้ม ขนาด 250x220x240มม. ความแข็งยาง
</t>
  </si>
  <si>
    <t>210264PRJ055</t>
  </si>
  <si>
    <t>80 ชอร์-เอ ชิ้นส่วน ROLLER FEED</t>
  </si>
  <si>
    <t>บริษัท เอควิป จำกัด</t>
  </si>
  <si>
    <t xml:space="preserve">BEARINGS SBPFL205-LDK </t>
  </si>
  <si>
    <t>30 พฤศจิกายน 2563</t>
  </si>
  <si>
    <t>210264A22</t>
  </si>
  <si>
    <t>บริษัท ชูม่า (ประเทศไทย) จำกัด</t>
  </si>
  <si>
    <t>WIKA PGT23.100 PRESSURE TRANSMITTER  WITH ANALOG DISPLAY</t>
  </si>
  <si>
    <t>210264A24</t>
  </si>
  <si>
    <t>BELT E 2/1 U0/U0 WHITE FDA W: 388 mm. x L: 3,422 mm. Endless Z Splice</t>
  </si>
  <si>
    <t>210264A25</t>
  </si>
  <si>
    <t>SUPPORT PLATE  และรายการอื่นๆรวม 7 รายการ</t>
  </si>
  <si>
    <t>210264A26</t>
  </si>
  <si>
    <t>ปะเก็นเหลว # 573 ขนาด 50 ml. "LOCTITE"</t>
  </si>
  <si>
    <t>210264PRJ056</t>
  </si>
  <si>
    <t>และรายการอื่นๆรวม 7 รายการ</t>
  </si>
  <si>
    <t>ซื้ออะไหล่ในการทำ Planned Maintenance สำหรับใช้กับกลุ่มเครื่องจักรผลิต</t>
  </si>
  <si>
    <t>210664อ/วศ.10</t>
  </si>
  <si>
    <t>จำนวน 14 รายการ</t>
  </si>
  <si>
    <t>210664อ/วศ.11</t>
  </si>
  <si>
    <t>จำนวน 11 รายการ</t>
  </si>
  <si>
    <t>210664อ/วศ.12</t>
  </si>
  <si>
    <t>จำนวน 12 รายการ</t>
  </si>
  <si>
    <t xml:space="preserve">ว่าจ้างพร้อมอุปกรณ์ในการหล่อยาง NBR สีดำ ขนาด 40x25x32mm.  
</t>
  </si>
  <si>
    <t xml:space="preserve">ความแข็งยาง70 ชอร์-เอ ชิ้นส่วนชุด FEED กระดาษมวนก้นกรอง </t>
  </si>
  <si>
    <t>ห้างหุ้นส่วนจำกัด พศิน เอ็นจิเนียริ่ง</t>
  </si>
  <si>
    <t>แอนด์ เซอร์วิส</t>
  </si>
  <si>
    <t xml:space="preserve">บริษัท แอบโซลูท แพคเกจจิ้ง แอนด์   </t>
  </si>
  <si>
    <t>ออโตเมชั่น</t>
  </si>
  <si>
    <t xml:space="preserve">บริษัท เอส.เค.เอส ดีไซน์ แอนด์ </t>
  </si>
  <si>
    <t>โปรดักชั่น เอ็นจิเนียริ่ง จำกัด</t>
  </si>
  <si>
    <t>จำนวน 1 รายการ</t>
  </si>
  <si>
    <t xml:space="preserve"> </t>
  </si>
  <si>
    <t>ลำดับที่ (1)</t>
  </si>
  <si>
    <t>หลอดนีออน TL5 28W/840 "PHILIPS"</t>
  </si>
  <si>
    <t>1 ธันวาคม 2563</t>
  </si>
  <si>
    <t xml:space="preserve">210264GRJ001 </t>
  </si>
  <si>
    <t>เพลาเหล็ก ขนาด D.70มม.x6 เมตร เกรด SCM440</t>
  </si>
  <si>
    <t>210264PRJ057</t>
  </si>
  <si>
    <t>0105556122058</t>
  </si>
  <si>
    <t>บริษัท ฟอร์คลิฟท์ สไมล์ จำกัด</t>
  </si>
  <si>
    <t xml:space="preserve">ว่าจ้างพร้อมอุปกรณ์ในการซ่อมเปลี่ยน FET MODULE และ HANESS POWER </t>
  </si>
  <si>
    <t xml:space="preserve">210264R008 </t>
  </si>
  <si>
    <t>ของรถยกไฟฟ้า ยี่ห้อ HYSTER S/N B226R 01684B</t>
  </si>
  <si>
    <t>ว่าจ้างพร้อมอุปกรณ์ในการซ่อมเปลี่ยน PLUG BATT และ น๊อตคาน ของรถยกไฟฟ้า</t>
  </si>
  <si>
    <t>210264R009</t>
  </si>
  <si>
    <t xml:space="preserve">ว่าจ้างพร้อมอุปกรณ์ในการซ่อมเปลี่ยน CUSHIN MOTOR DRIVE </t>
  </si>
  <si>
    <t xml:space="preserve">210264R010 </t>
  </si>
  <si>
    <t>เหล็กแผ่น ขนาด หนา 3มม. กว้าง 16มม. ยาว 1 เมตร</t>
  </si>
  <si>
    <t>2 ธันวาคม 2563</t>
  </si>
  <si>
    <t>2102641A016</t>
  </si>
  <si>
    <t xml:space="preserve">SPOOL </t>
  </si>
  <si>
    <t xml:space="preserve">210264A27 </t>
  </si>
  <si>
    <t>0105547098638</t>
  </si>
  <si>
    <t>บริษัท แคมฟิล (ประเทศไทย) จำกัด</t>
  </si>
  <si>
    <t xml:space="preserve">MULTIFILTER BAG 12 ช่องย่อย MATERIAL:PE/PE 504 g/m2
</t>
  </si>
  <si>
    <t>210264A28</t>
  </si>
  <si>
    <t>SIZE: 520 x 525 x 370 mm .และรายการอื่นๆรวม 3 รายการ</t>
  </si>
  <si>
    <t>0105541050170</t>
  </si>
  <si>
    <t>บริษัท บีแทค อินดัสเตรียล ออโตเมชั่น จำกัด</t>
  </si>
  <si>
    <t>SOLENOID VALVE WITH COIL 24 VDC MODEL :AE-1003</t>
  </si>
  <si>
    <t>210264A29</t>
  </si>
  <si>
    <t>0125549006226</t>
  </si>
  <si>
    <t>บริษัท คลูเบอร์ ลูบริเคชั่น (ประเทศไทย) จำกัด</t>
  </si>
  <si>
    <t>"KLUBER" STABURAGS NBU 12 (1kg)</t>
  </si>
  <si>
    <t xml:space="preserve">210264A30 </t>
  </si>
  <si>
    <t>บริษัท ซี เอส. เฟล็กซิเบิ้ล แอนด์ ซัพพลาย จำกัด</t>
  </si>
  <si>
    <t xml:space="preserve">ว่าจ้างพร้อมอุปกรณ์ในการซ่อมเครื่องไสเรียบ ยี่ห้อ KLOPP SOLINGEN-WALD      </t>
  </si>
  <si>
    <t>210264C007</t>
  </si>
  <si>
    <t>ลวดเชื่อมไฟฟ้า RB-26 ขนาด 3.2มม.x350 มม."KOBE"</t>
  </si>
  <si>
    <t xml:space="preserve">210264PRJ058 </t>
  </si>
  <si>
    <t>และรายการอื่นๆรวม 11 รายการ</t>
  </si>
  <si>
    <t>SUPPORT PLATE 12DS63-4 3558223-000-04  TA2570</t>
  </si>
  <si>
    <t>210264PRJ059</t>
  </si>
  <si>
    <t xml:space="preserve">บริษัท อัมเมก้า (ประเทศไทย) จำกัด </t>
  </si>
  <si>
    <t>Megalinear Timing Belt PU 45T5/2345 Weleded Belt W=45mm.</t>
  </si>
  <si>
    <t>210264PRJ060</t>
  </si>
  <si>
    <t>L=2,345mm.(469 teeth)</t>
  </si>
  <si>
    <t> '0105548148531</t>
  </si>
  <si>
    <t xml:space="preserve">บริษัท เอส.เอส.อัลลายแอนซ์ จำกัด </t>
  </si>
  <si>
    <t>ว่าจ้างพร้อมอุปกรณ์ในการซ่อมเปลี่ยน ท่อน้ำเย็นห้อง AIR WASHER</t>
  </si>
  <si>
    <t>210264RR007</t>
  </si>
  <si>
    <t>BEARING SKF NO.6209-2Z</t>
  </si>
  <si>
    <t>210264TRJ014</t>
  </si>
  <si>
    <t>0105552077830</t>
  </si>
  <si>
    <t xml:space="preserve">บริษัท ซีซีเจ ซัพพลายส์ จำกัด </t>
  </si>
  <si>
    <t xml:space="preserve">ว่าจ้างพร้อมอุปกรณ์ในการติดตั้ง Breakerพร้อมเดินสายไฟสำหรับเครื่องอัดอากาศ
</t>
  </si>
  <si>
    <t>210264TRJ015</t>
  </si>
  <si>
    <t>บริเวณชานชาลา AS/RS อาคาร B02</t>
  </si>
  <si>
    <t>0215554005096</t>
  </si>
  <si>
    <t>บริษัท เบรฟเทค โซลูชั่น จำกัด</t>
  </si>
  <si>
    <t>POSITIONER FOR CONTROL VALVE MODEL: 2SP6DR5110</t>
  </si>
  <si>
    <t>3 ธันวาคม 2563</t>
  </si>
  <si>
    <t>210264A23</t>
  </si>
  <si>
    <t>0NN00-0AA3</t>
  </si>
  <si>
    <t>0103560015684</t>
  </si>
  <si>
    <t>ห้างหุ้นส่วนจำกัด เฮงดี คอร์ป</t>
  </si>
  <si>
    <t>ว่าจ้างพร้อมอุปกรณ์ในการซ่อมเปลี่ยนท่อเมนน้ำประปาบนฝ้า</t>
  </si>
  <si>
    <t>210264BT009</t>
  </si>
  <si>
    <t>CONTROLLER VALVE ACTUATOR EW201-S15 ขนาด 1/2" "EWOO"</t>
  </si>
  <si>
    <t>210264BT010</t>
  </si>
  <si>
    <t>ว่าจ้างพร้อมอุปกรณ์ในการขึ้นรูป ชิ้นงานตะขอล็อครางก้นกรอง</t>
  </si>
  <si>
    <t>210264PRJ061</t>
  </si>
  <si>
    <t xml:space="preserve">ว่าจ้างพร้อมอุปกรณ์ในการขึ้นรูป ชิ้นงาน PULLEY ชุด FEED ก้นกรอง
</t>
  </si>
  <si>
    <t>210264PRJ062</t>
  </si>
  <si>
    <t>ชิ้นส่วนเครื่องมวนก้นกรอง AIGER RMS</t>
  </si>
  <si>
    <t>SEAL AMD TC 30 x 42 x 7 VITON</t>
  </si>
  <si>
    <t>210264PRJ063</t>
  </si>
  <si>
    <t>และรายการอื่นๆรวม 4 รายการ</t>
  </si>
  <si>
    <t xml:space="preserve">ห้างหุ้นส่วนจำกัด แมส แอฟฟลูเอนท์ </t>
  </si>
  <si>
    <t>RELAYS REL-MR-24DC/21</t>
  </si>
  <si>
    <t>210264PRJ064</t>
  </si>
  <si>
    <t xml:space="preserve">Castrol Tribol GR100-2PD 18kg. </t>
  </si>
  <si>
    <t>210264PRJ065</t>
  </si>
  <si>
    <t>ว่าจ้างพร้อมอุปกรณ์ในการขึ้นรูป ชิ้นงาน GUIDE WAY พร้อมขาจับยึด ชิ้นส่วนเครื่อง</t>
  </si>
  <si>
    <t>210264TRJ016</t>
  </si>
  <si>
    <t>น๊อตสแตนเลส หัวล็อกพลาสติก ขนาด 5 มม.</t>
  </si>
  <si>
    <t>210264TRJ017</t>
  </si>
  <si>
    <t>BEARING SKF NO.SYJ 40 TF</t>
  </si>
  <si>
    <t xml:space="preserve">210264TRJ018 </t>
  </si>
  <si>
    <t>"GATES" สายพาน V-BELT # SPA 1232 LW</t>
  </si>
  <si>
    <t>210264TRJ019</t>
  </si>
  <si>
    <t>ห้างหุ้นส่วนจำกัด พศิน เอ็นจิเนียริ่ง แอนด์</t>
  </si>
  <si>
    <t>ว่าจ้างพร้อมอุปกรณ์ในการตรวจซ่อมและล้างทำความสะอาดคอยล์เย็น</t>
  </si>
  <si>
    <t>4 ธันวาคม 2563</t>
  </si>
  <si>
    <t>210264BR001</t>
  </si>
  <si>
    <t xml:space="preserve">จำนวน 3 ชุด </t>
  </si>
  <si>
    <t xml:space="preserve">ลูกลอยตู้น้ำดื่ม ขนาดเส้นผ่านศูนย์กลาง1/2 นิ้ว ลูกลอยสแตนเลส
</t>
  </si>
  <si>
    <t>210264D002</t>
  </si>
  <si>
    <t>แกนวาล์วและตัววาล์วทำด้วยทองเหลือง</t>
  </si>
  <si>
    <t> 0105533053149</t>
  </si>
  <si>
    <t>WRAP SPRING CLUTCH/BRAKES CB6-CW-24VDC-</t>
  </si>
  <si>
    <t>7 ธันวาคม 2563</t>
  </si>
  <si>
    <t>210264A31</t>
  </si>
  <si>
    <t xml:space="preserve">A0-3/4" BORE-1 STOP </t>
  </si>
  <si>
    <t xml:space="preserve">บริษัท สยามโทแบคโค่แมชชีนส์ จำกัด </t>
  </si>
  <si>
    <t>KNIFE (มีดตัด FITER)</t>
  </si>
  <si>
    <t>8 ธันวาคม 2563</t>
  </si>
  <si>
    <t>210264A32</t>
  </si>
  <si>
    <t>DIGITAL THERMOSTAT CONTROL รุ่น T6812DP08 "HONEY WELL"</t>
  </si>
  <si>
    <t>210264D003</t>
  </si>
  <si>
    <t>SEAL NOK TC 40x68x8 (NBR)</t>
  </si>
  <si>
    <t>210264PRJ066</t>
  </si>
  <si>
    <t>ว่าจ้างพร้อมอุปกรณ์ในการหล่อยาง ยูริเทน สีแดง ขนาด 42x164 มม. ความแข็งยาง</t>
  </si>
  <si>
    <t>210264PRJ067</t>
  </si>
  <si>
    <t>80 ชอร์-เอ เป็นชิ้นส่วน ROLLER WITH</t>
  </si>
  <si>
    <t xml:space="preserve">บริษัท ธัญธิญะ เทคโนโลยี จำกัด                                                                                                                                                          </t>
  </si>
  <si>
    <t xml:space="preserve">EJECTOR DIA.1-1/2" </t>
  </si>
  <si>
    <t>210264RR017</t>
  </si>
  <si>
    <t>เพลาเหล็กขาว เกรด S45C ขนาดD.20มม.x6เมตร</t>
  </si>
  <si>
    <t>14 ธันวาคม 2563</t>
  </si>
  <si>
    <t xml:space="preserve">2102641A017 </t>
  </si>
  <si>
    <t>DOUBLE ACTING CYL. ADVU-40-50-P-A "FESTO"</t>
  </si>
  <si>
    <t>210264PRJ068</t>
  </si>
  <si>
    <t xml:space="preserve">ว่าจ้างพร้อมอุปกรณ์ในการซ่อมเปลี่ยนท่อน้ำเย็นห้อง AIR WASHER </t>
  </si>
  <si>
    <t>210264RR008</t>
  </si>
  <si>
    <t xml:space="preserve">ห้างหุ้นส่วนจำกัด เจ็ท วิศวกรรม </t>
  </si>
  <si>
    <t xml:space="preserve">ว่าจ้างพร้อมอุปกรณ์ในการซ่อมท่อน้ำประปา ระบบดับเพลิง </t>
  </si>
  <si>
    <t>210264RR014</t>
  </si>
  <si>
    <t>AUXILIARY SWITCH CHANGEOVER CONTACTSTYPE HQ (7MM) ACCESSORY</t>
  </si>
  <si>
    <t>210264TRJ020</t>
  </si>
  <si>
    <t>FOR 3VA1 and 3VA20 up และรายการอื่นๆรวม 5 รายการ</t>
  </si>
  <si>
    <t>TRANSPORT BAND Size 2,715 x 17.5 mm.</t>
  </si>
  <si>
    <t>15 ธันวาคม 2563</t>
  </si>
  <si>
    <t>210264A33</t>
  </si>
  <si>
    <t xml:space="preserve">สายไฟ THW ขนาด 1x2.5ตร.มม. "YAZAKI"(สีน้ำตาล=1ม้วน,
</t>
  </si>
  <si>
    <t xml:space="preserve">210264BT011 </t>
  </si>
  <si>
    <t>สีน้ำเงิน=1ม้วน,สีเขียว=1ม้วน) และรายการอื่นๆรวม 2 รายการ</t>
  </si>
  <si>
    <t>"HUTCHINSON" สายพาน MICRO-V #615L15(1562MM.) 15 ร่อง</t>
  </si>
  <si>
    <t>210264PRJ069</t>
  </si>
  <si>
    <t>0193558000446</t>
  </si>
  <si>
    <t xml:space="preserve">บริษัท อินแฟคท์เซเว่น จำกัด </t>
  </si>
  <si>
    <t>PHOTOELECTRIC SENSOR "IFM" MODEL :  O5G500\EFECTOR 200\O5PGFAKG</t>
  </si>
  <si>
    <t>210264PRJ070</t>
  </si>
  <si>
    <t>\US100\DE</t>
  </si>
  <si>
    <t>"ABB" INVERTER TYPE : ACS580-01-12A7-4</t>
  </si>
  <si>
    <t>210264PRJ071</t>
  </si>
  <si>
    <t>(PHd : 4kW, IHd : 9.4 A, Frame Size R1,Heavy)</t>
  </si>
  <si>
    <t>:- SCRAPER 2XALNA2</t>
  </si>
  <si>
    <t>210264PRJ072</t>
  </si>
  <si>
    <t>ห้างหุ้นส่วนจำกัด พีแอนด์พี (2011</t>
  </si>
  <si>
    <t>ว่าจ้างพร้อมอุปกรณ์ในการขึ้นรูป ชิ้นงาน Roller Break เส้นใยก้นกรองพร้อมหล่อยาง</t>
  </si>
  <si>
    <t xml:space="preserve">210264PRJ073 </t>
  </si>
  <si>
    <t>เป็นชิ้นส่วนเครื่องมวนก้นกรอง</t>
  </si>
  <si>
    <t>ว่าจ้างพร้อมอุปกรณ์ในการขึ้นรูป ชิ้นงานARM ยึดกระบอกสูบ</t>
  </si>
  <si>
    <t>210264PRJ074</t>
  </si>
  <si>
    <t xml:space="preserve">ว่าจ้างพร้อมอุปกรณ์ในการซ่อมเปลี่ยนBOARD CONTROL </t>
  </si>
  <si>
    <t xml:space="preserve">210264R004/1 </t>
  </si>
  <si>
    <t>ของรถยกไฟฟ้า JUNGHEINRICH</t>
  </si>
  <si>
    <t xml:space="preserve">ว่าจ้างพร้อมอุปกรณ์ในการซ่อมเปลี่ยนCONTACT ของรถยกไฟฟ้า FORKLIFT </t>
  </si>
  <si>
    <t>210264R012</t>
  </si>
  <si>
    <t>ยี่ห้อ BT</t>
  </si>
  <si>
    <t xml:space="preserve">บริษัท ฟอร์คลิฟท์ สไมล์ จำกัด </t>
  </si>
  <si>
    <t>ว่าจ้างพร้อมอุปกรณ์ในการซ่อมเปลี่ยนCHANGE, ARM,RUBBER PAD (T)</t>
  </si>
  <si>
    <t>210264R013</t>
  </si>
  <si>
    <t xml:space="preserve">,STOPER FOR CYLINDER 
</t>
  </si>
  <si>
    <t xml:space="preserve">บริษัท เอควิป จำกัด </t>
  </si>
  <si>
    <t xml:space="preserve">TAKE-UP HOUSING UNIT SETS RTUE120-XL -INA </t>
  </si>
  <si>
    <t>210264TRJ021</t>
  </si>
  <si>
    <t xml:space="preserve">ท่อหดสีดำ ขนาด 20 มม. </t>
  </si>
  <si>
    <t>210264TRJ022</t>
  </si>
  <si>
    <t>"ESBELT" PVC. CONVEYOR BELT TYPE CLINA 21 CF SIZE W: 820 mm. x</t>
  </si>
  <si>
    <t>16 ธันวาคม 2563</t>
  </si>
  <si>
    <t>210264A34</t>
  </si>
  <si>
    <t>L: 23,000 mm.และรายการอื่นๆรวม 2 รายการ</t>
  </si>
  <si>
    <t>0125543004205</t>
  </si>
  <si>
    <t>บริษัท ไฟฟ้าอุตสาหกรรม จำกัด</t>
  </si>
  <si>
    <t>ULTRASONIC SENSOR "PEPPERL+FUCHS"MODEL: UC2000-30GM-IUR2-V15</t>
  </si>
  <si>
    <t>210264A35</t>
  </si>
  <si>
    <t xml:space="preserve">MT42500SP PRINT HEAD 108 mm. 12 DotGEN3 For M230i </t>
  </si>
  <si>
    <t>210264A36</t>
  </si>
  <si>
    <t xml:space="preserve">BELT GG 10/15 Y/G W: 50 mm. x L :50,000 mm. OPEN 90
</t>
  </si>
  <si>
    <t>210264A37</t>
  </si>
  <si>
    <t>SPARE PART KIT FOR CSFOMA ROTARY LOBEPUMP</t>
  </si>
  <si>
    <t>210264A38</t>
  </si>
  <si>
    <t>0105551003531</t>
  </si>
  <si>
    <t xml:space="preserve">บริษัท เพ็ชรไฟน์ จำกัด </t>
  </si>
  <si>
    <t>BASIC RELAY 857-152</t>
  </si>
  <si>
    <t>210264A39</t>
  </si>
  <si>
    <t>SOLENOID VALVE "FESTO" CPE14-M1BH-5L- 1/8</t>
  </si>
  <si>
    <t>210264A40</t>
  </si>
  <si>
    <t xml:space="preserve">บริษัท คอนโทรลเมติกส์ จำกัด </t>
  </si>
  <si>
    <t>AUXILIARY SWITCH</t>
  </si>
  <si>
    <t>210264A41</t>
  </si>
  <si>
    <t>0205561013171</t>
  </si>
  <si>
    <t>บริษัท ไบรท์ ดีเอส จำกัด</t>
  </si>
  <si>
    <t>ว่าจ้างพร้อมอุปกรณ์ในการเดินสายไฟสำหรับเครื่องทำน้ำอุ่น จำนวน 3 ชุด</t>
  </si>
  <si>
    <t xml:space="preserve"> 210264BT012</t>
  </si>
  <si>
    <t xml:space="preserve">END MILL CARBIDE COATING TIAIN (2ฟัน)2512A D.6x10x57 SHANK 6mm. </t>
  </si>
  <si>
    <t>210264P005</t>
  </si>
  <si>
    <t>"FRANKEN" และรายการอื่นๆรวม 42 รายการ</t>
  </si>
  <si>
    <t>เพลาเหล็กขาว เกรด SS400 ขนาด D.8 มม.x4 เมตร</t>
  </si>
  <si>
    <t>210264PRJ075</t>
  </si>
  <si>
    <t>ดอกสว่านเจาะปูนโรตารี่ ขนาด 8 มม.</t>
  </si>
  <si>
    <t>210264PRJ076</t>
  </si>
  <si>
    <t>และรายการอื่นๆรวม 28 รายการ</t>
  </si>
  <si>
    <t xml:space="preserve">บริษัท อ่างทองสากล จำกัด </t>
  </si>
  <si>
    <t>มอเตอร์คอมเพรสเซอร์ รุ่น MTZ40-4VI"MANEUROP"</t>
  </si>
  <si>
    <t>210264RR018</t>
  </si>
  <si>
    <t>ท่อเหล็กดำไม่มีตะเข็บ SCH40 ขนาด D.6"x6 เมตร</t>
  </si>
  <si>
    <t>210264RR020</t>
  </si>
  <si>
    <t>บริษัท แอนตี้ไฟร์ จำกัด</t>
  </si>
  <si>
    <t>จ้างเหมาบำรุงรักษาชุดดับเพลิง อัตโนมัติชนิด CO2 จำนวน 6 ถัง</t>
  </si>
  <si>
    <t>210264TRJ023</t>
  </si>
  <si>
    <t xml:space="preserve">บริษัท ยูไนเต็ดเพาเวอร์อีควิปเม้นท์ จำกัด   </t>
  </si>
  <si>
    <t>เพลาอลูมิเนียมอัลลอย เกรด 7075 ขนาด D.25มม.x1เมตร</t>
  </si>
  <si>
    <t>18 ธันวาคม 2563</t>
  </si>
  <si>
    <t>2102641A018</t>
  </si>
  <si>
    <t xml:space="preserve">บริษัท พี.ประชุม  จำกัด  </t>
  </si>
  <si>
    <t>SUCTION TAPE Type : KTU14.1 Size  4,630x8.2 mm.</t>
  </si>
  <si>
    <t>210264A42</t>
  </si>
  <si>
    <t>บริษัท อินแฟคท์เซเว่น จำกัด</t>
  </si>
  <si>
    <t>CIRCUIT BREAKER MODEL : NZM6-160 "KLOCKNER MOELLER"</t>
  </si>
  <si>
    <t>210264PRJ077</t>
  </si>
  <si>
    <t>SEAL AMD TC 25x35x7 VITON</t>
  </si>
  <si>
    <t>210264PRJ078</t>
  </si>
  <si>
    <t xml:space="preserve">"ESBELT" TRANSMISSION BELT TYPE P-01 (THICKNESS 1.40mm./
</t>
  </si>
  <si>
    <t xml:space="preserve">210264PRJ079 </t>
  </si>
  <si>
    <t>POLYURETHANE/POLYAMIDE) และรายการอื่นๆรวม 2 รายการ</t>
  </si>
  <si>
    <t>ลูกยางกันกระแทก NBR ขนาด 25x15 มม.พร้อมสกรูยึด ขนาด M6x28 มม.</t>
  </si>
  <si>
    <t>210264PRJ080</t>
  </si>
  <si>
    <t xml:space="preserve">บริษัท มาสเตอร์ พี.เอ็ม. จำกัด </t>
  </si>
  <si>
    <t>ว่าจ้างพร้อมอุปกรณ์ในการซ่อมระบบCOOLING UNIT ของเครื่องมวนก้นกรอง PM5E</t>
  </si>
  <si>
    <t>210264PRJ081</t>
  </si>
  <si>
    <t xml:space="preserve">"ESBELT" PVC.CONVEYOR BELT TYPE CLINA20 CF (2 Ply,Th. 2.80 mm. </t>
  </si>
  <si>
    <t>210264TRJ024</t>
  </si>
  <si>
    <t>WHITE COLORFDA.) SIZE W=1,100 mm.xL=16,000 mm  และรายการอื่นๆรวม 2 รายการ</t>
  </si>
  <si>
    <t xml:space="preserve">บริษัท อินแฟคท์เซเว่น จำกัด  </t>
  </si>
  <si>
    <t>"SIEMENS" 2 GB CF-CARD FOR SIMOTIOND4x5-2 MODEL : 6Axx400</t>
  </si>
  <si>
    <t>21 ธันวาคม 2563</t>
  </si>
  <si>
    <t>210264A43</t>
  </si>
  <si>
    <t xml:space="preserve">ROLLER </t>
  </si>
  <si>
    <t>210264A44</t>
  </si>
  <si>
    <t>0103519004959</t>
  </si>
  <si>
    <t>ห้างหุ้นส่วนจำกัด ชินุปกรณ์</t>
  </si>
  <si>
    <t>SAMICK BEARING NO.SBR30UU</t>
  </si>
  <si>
    <t>210264A45</t>
  </si>
  <si>
    <t>0125555009894</t>
  </si>
  <si>
    <t>บริษัท ดูรัม จำกัด</t>
  </si>
  <si>
    <t xml:space="preserve">"CELCO" ROTATING JOINT CONNECTOR MODEL  </t>
  </si>
  <si>
    <t>22 ธันวาคม 2563</t>
  </si>
  <si>
    <t>210264A46</t>
  </si>
  <si>
    <t>BALL BEARING 609-2RSH</t>
  </si>
  <si>
    <t>210264A47</t>
  </si>
  <si>
    <t>และรายการอื่นๆรวม 19 รายการ</t>
  </si>
  <si>
    <t>BRUSH TAMPICO RIGHT</t>
  </si>
  <si>
    <t>210264A48</t>
  </si>
  <si>
    <t>MECHANICAL SEAL FOR LOBE PUMP B105 32</t>
  </si>
  <si>
    <t>210264TRJ025</t>
  </si>
  <si>
    <t>KNIFE</t>
  </si>
  <si>
    <t>23 ธันวาคม 2563</t>
  </si>
  <si>
    <t>210264A49</t>
  </si>
  <si>
    <t>บริษัท คัลลัส  จำกัด</t>
  </si>
  <si>
    <t>TMS2000 FIELD RETROFIT KIT (INCLUDES</t>
  </si>
  <si>
    <t>210264A50</t>
  </si>
  <si>
    <t>ว่าจ้างพร้อมอุปกรณ์ในการเดินสายไฟสำหรับเครื่องทำน้ำอุ่น จำนวน 2 ชุด</t>
  </si>
  <si>
    <t>210264BT012/1</t>
  </si>
  <si>
    <t>ว่าจ้างพร้อมอุปกรณ์ในการซ่อมเปลี่ยนท่อเมนน้ำรดน้ำต้นไม้ชำรุดรั่วใต้ดิน</t>
  </si>
  <si>
    <t>210264BT013</t>
  </si>
  <si>
    <t xml:space="preserve">ห้างหุ้นส่วนจำกัด เจ็ท วิศวกรรม                                    </t>
  </si>
  <si>
    <t>210264BT014</t>
  </si>
  <si>
    <t xml:space="preserve">                    </t>
  </si>
  <si>
    <t xml:space="preserve">ว่าจ้างพร้อมอุปกรณ์ในการซ่อมเปลี่ยน FETCOMP DRIVE และ KEY SWITCH ของรถยกไฟฟ้า
</t>
  </si>
  <si>
    <t>210264R011</t>
  </si>
  <si>
    <t xml:space="preserve">ว่าจ้างพร้อมอุปกรณ์ในการซ่อมรางรองรับน้ำทิ้งใต้ห้อง AIR WASHER No.4
</t>
  </si>
  <si>
    <t>210264RR019</t>
  </si>
  <si>
    <t>210264TRJ026</t>
  </si>
  <si>
    <t>210264TRJ027</t>
  </si>
  <si>
    <t>ว่าจ้างพร้อมอุปกรณ์ในการซ่อม PROCESS PUMP P-22 ที่กองผลิตยาเส้นพอง</t>
  </si>
  <si>
    <t>24 ธันวาคม 2563</t>
  </si>
  <si>
    <t>210264TRJ028</t>
  </si>
  <si>
    <t>1654007-000-00 NT7007 RUBBER-METAL BUSH MOUNTING</t>
  </si>
  <si>
    <t>210264TRJ029</t>
  </si>
  <si>
    <t>0103545004740</t>
  </si>
  <si>
    <t>25 ธันวาคม 2563</t>
  </si>
  <si>
    <t>210264D004</t>
  </si>
  <si>
    <t>SEAL NOK TC 25x62x10 ขอบยาง 2 ชั้น</t>
  </si>
  <si>
    <t>28 ธันวาคม 2563</t>
  </si>
  <si>
    <t>210264PRJ082</t>
  </si>
  <si>
    <t>BEARING INA HK 2516-2RS</t>
  </si>
  <si>
    <t>210264PRJ083</t>
  </si>
  <si>
    <t>BEARING INA HK 5025</t>
  </si>
  <si>
    <t>210264PRJ084</t>
  </si>
  <si>
    <t xml:space="preserve"> 210264PRJ085</t>
  </si>
  <si>
    <t>จ้างเหมาบำรุงรักษาเครื่องวัดความพองDENSIMETER พร้อมอุปกรณ์ แบบไม่รวมอะไหล่</t>
  </si>
  <si>
    <t>210264พ/วศ.07</t>
  </si>
  <si>
    <t>0105533036945</t>
  </si>
  <si>
    <t xml:space="preserve">บริษัท สไปแร็กซ์ ซาร์โก (ประเทศไทย) จำกัด </t>
  </si>
  <si>
    <t xml:space="preserve">"SPIRAX SARCO" BRV2S PRESSURE REDUCINGVALVE 25MM PN25 GREEN KVMAX : 2.5
</t>
  </si>
  <si>
    <t>29 ธันวาคม 2563</t>
  </si>
  <si>
    <t>210264A51</t>
  </si>
  <si>
    <t> 0105541070871</t>
  </si>
  <si>
    <t>บริษัท ศิริ เทรลเลอร์ แอนด์ เอ็นจิเนียริ่ง</t>
  </si>
  <si>
    <t>ล้อยาง</t>
  </si>
  <si>
    <t>210264A52</t>
  </si>
  <si>
    <t>0123555004114</t>
  </si>
  <si>
    <t>ห้างหุ้นส่วนจำกัด จิรโชติ เทรดดิ้ง</t>
  </si>
  <si>
    <t>210264TRJ030</t>
  </si>
  <si>
    <t>210264TRJ031</t>
  </si>
  <si>
    <t>0105558173431</t>
  </si>
  <si>
    <t>บริษัท ดับบลิวเอสเอ็ม (ไทยแลนด์) จำกัด</t>
  </si>
  <si>
    <t xml:space="preserve">ซื้อน้ำยาเคมีในการปรับสภาพน้ำของระบบ COOLING TOWER ที่อาคารศูนย์พลังงาน </t>
  </si>
  <si>
    <t>210264พ/วศ.05</t>
  </si>
  <si>
    <t>บริษัทโปรเมทริค ชิสเต็มส์ จำกัด</t>
  </si>
  <si>
    <t>งานจ้างเหมาซ่อมแซมแก้ไขระบบการแจ้งเตือนเหตุเพลิงไหม้</t>
  </si>
  <si>
    <t>210264พ/วศ.06</t>
  </si>
  <si>
    <t xml:space="preserve">ห้างหุ้นส่วนจำกัด ร่วมเจริญ เอ็นจิเนียริ่งแอนด์ </t>
  </si>
  <si>
    <t>ซัพพลาย</t>
  </si>
  <si>
    <t>บริษัท อัลทร่า อินดัสเตรียล โมชั่น</t>
  </si>
  <si>
    <t xml:space="preserve">ว่าจ้างพร้อมอุปกรณ์ในการซ่อมเปลี่ยนท่อเมนน้ำรดน้ำต้นไม้ชำรุดรั่วใต้ดินบริเวณ
</t>
  </si>
  <si>
    <t>ริมฟุตบาทติดรั้วด้านหลังป้าย</t>
  </si>
  <si>
    <t xml:space="preserve">ว่าจ้างพร้อมอุปกรณ์ในการขึ้นรูปชิ้นงาน GUIDE WAY พร้อมขาจับยึดชิ้นส่วนเครื่อง 
</t>
  </si>
  <si>
    <t>ROLLER CONVEYOR</t>
  </si>
  <si>
    <t xml:space="preserve">ว่าจ้างพร้อมอุปกรณ์ในการขึ้นรูปชิ้นงานฝังคาร์ไบด์ที่จาน PUMP น้ำยาชิ้นส่วนเครื่อง  </t>
  </si>
  <si>
    <t>BURLEY MIXING</t>
  </si>
  <si>
    <t>DATASENSOR AND DATALOGIC MODEL : S7-5- E-P (1 EA) - OF-44-ST-20</t>
  </si>
  <si>
    <t xml:space="preserve">TAC-24PI ROOM TEMP. CONTROLLER (PI),LCD DISPLAY,  </t>
  </si>
  <si>
    <t>0/2-10VDC OUTPUT,24 VAC</t>
  </si>
  <si>
    <t xml:space="preserve">ว่าจ้างพร้อมอุปกรณ์ในการบำรุงรักษาและทำความสะอาดเครื่องปรับอากาศภายใน
</t>
  </si>
  <si>
    <t xml:space="preserve">ตู้ควบคุมเครื่องจักร (Control) จำนวน 12 ชุด </t>
  </si>
  <si>
    <t xml:space="preserve">ตู้ควบคุมเครื่องจักร (Control) จำนวน 2 ชุด </t>
  </si>
  <si>
    <t>(1 EA) - AF-4(1 EA) และรายการอื่นๆรวม 2 รายการ</t>
  </si>
  <si>
    <t xml:space="preserve">                                                     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</si>
  <si>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 xml:space="preserve">                                                                                 ประจำไตรมาสที่ 1 (เดือนตุลาคม พ.ศ. 2563 ถึง เดือนธันวาคม พ.ศ. 2563)</t>
  </si>
  <si>
    <t xml:space="preserve">                                                                                                                     การยาสูบแห่งประเทศไทย</t>
  </si>
  <si>
    <t xml:space="preserve">                                                                                 ประจำไตรมาสที่ 2 (เดือนมกราคม พ.ศ. 2564 ถึง เดือนมีนาคม พ.ศ. 2564)</t>
  </si>
  <si>
    <t xml:space="preserve">ข้อต่อสามทาง PVC สีฟ้า ขนาด 1/2" </t>
  </si>
  <si>
    <t>4 มกราคม 2564</t>
  </si>
  <si>
    <t>210264BR002/1</t>
  </si>
  <si>
    <t xml:space="preserve">ว่าจ้างพร้อมอุปกรณ์ในการซ่อมเปลี่ยนท่อเมนน้ำประปา และก๊อกน้ำ
    </t>
  </si>
  <si>
    <t>210264BT015</t>
  </si>
  <si>
    <t xml:space="preserve">SIREN LIGHT AND SOUND 40-285VAC IP65 สีแดง "ELFATEK"   </t>
  </si>
  <si>
    <t>210264BT016</t>
  </si>
  <si>
    <t xml:space="preserve">ว่าจ้างพร้อมอุปกรณ์ในการขึ้นรูป ชิ้นงาน ROLLER ชิ้นส่วนเครื่องบรรจุซอง ALFA RAM  </t>
  </si>
  <si>
    <t>210264PRJ086</t>
  </si>
  <si>
    <t>ว่าจ้างพร้อมอุปกรณ์ในการขึ้นรูป ชิ้นงาน SHAFT ชิ้นส่วนเครื่องบรรจุซอง ALFA RAM</t>
  </si>
  <si>
    <t>210264PRJ087</t>
  </si>
  <si>
    <t>6568343-000-03 TA0180 ADJUSTER BOLT  548FA27-3</t>
  </si>
  <si>
    <t>210264PRJ088</t>
  </si>
  <si>
    <t>0105532071666</t>
  </si>
  <si>
    <t>บริษัท ไทย-เจแปน แก๊ส จำกัด</t>
  </si>
  <si>
    <t xml:space="preserve">ARGON GAS-IND GRADE (PURITY 99.99%)ขนาดบรรจุถังละ 1.5 ลูกบาศก์เมตร
</t>
  </si>
  <si>
    <t>210264W001</t>
  </si>
  <si>
    <t>บริษัท เพอร์เฟ็คท์ เพาเวอร์ไลน์ จำกัด</t>
  </si>
  <si>
    <t xml:space="preserve">"BONFIGLIOLI" WORM GEAR : VF 44 F i:20P63 B5 + MOTOR 2SPEED 0.20/015 kW. </t>
  </si>
  <si>
    <t>5 มกราคม 2564</t>
  </si>
  <si>
    <t>210264A54</t>
  </si>
  <si>
    <t>ว่าจ้างพร้อมอุปกรณ์ในการซ่อมเครื่องมิลลิ่ง ยี่ห้อ PEDERSEN</t>
  </si>
  <si>
    <t>210264C008</t>
  </si>
  <si>
    <t>เต้ารับฝังพื้น POP-UP 150630NA"bTICINO"(พร้อมปลั๊กกราวด์คู่ และอุปกรณ์ประกอบ)</t>
  </si>
  <si>
    <t>210264PC001</t>
  </si>
  <si>
    <t>PRESSURE REDUCING VALVE BODY : CASTSTEEL (A216 WCB) PN16 DN40 SET PRESSURE</t>
  </si>
  <si>
    <t>210264PRJ089</t>
  </si>
  <si>
    <t>: 8 BAR</t>
  </si>
  <si>
    <t>BEARING ASAHI BPFL 5</t>
  </si>
  <si>
    <t>6 มกราคม 2564</t>
  </si>
  <si>
    <t>210264A53</t>
  </si>
  <si>
    <t>REFRIGERANT LEAK DETECTOR ยี่ห้อ TASCO รุ่น TA430 D</t>
  </si>
  <si>
    <t>210264P006</t>
  </si>
  <si>
    <t>ลูกกลิ้งลายซ้าย CUT KNURLING WHEEL L</t>
  </si>
  <si>
    <t>210264P007</t>
  </si>
  <si>
    <t>และรายการอื่นๆรวม 14 รายการ</t>
  </si>
  <si>
    <t>TEMPERATURE DISPLAY "ELITECH" รุ่น STC-1000</t>
  </si>
  <si>
    <t>210264PRJ090</t>
  </si>
  <si>
    <t>COOLING FAN MODEL : 4710NL-05W-B50"NMB"</t>
  </si>
  <si>
    <t>210264PRJ091</t>
  </si>
  <si>
    <t>ห้างหุ้นส่วนจำกัด ร่วมเจริญ เอ็นจิเนียริ่งแอนด์ ซัพพลาย</t>
  </si>
  <si>
    <t>TAC-24PI Room Temp.Controller (PI),LCD display,0/2-10VDC output,24 VAC</t>
  </si>
  <si>
    <t>210264PRJ092</t>
  </si>
  <si>
    <t>เพลาเหล็กหกเหลี่ยม เกรด S45C ขนาด 3/8"x 6 เมตร</t>
  </si>
  <si>
    <t>210264PRJ093</t>
  </si>
  <si>
    <t xml:space="preserve">ว่าจ้างพร้อมอุปกรณ์ในการขึ้นรูป ชิ้นงาน GEAR FILTER UNITเป็นชิ้นส่วนเครื่องมวนบุหรี่ PROTOS MAX
</t>
  </si>
  <si>
    <t>210264PRJ094</t>
  </si>
  <si>
    <t>0105541070871</t>
  </si>
  <si>
    <t xml:space="preserve">บริษัท ศิริ เทรลเลอร์ แอนด์ เอ็นจิเนียริ่ง จำกัด </t>
  </si>
  <si>
    <t xml:space="preserve">ล้อยาง STACKER CRANE ขนาด 8 นิ้ว </t>
  </si>
  <si>
    <t>7 มกราคม 2564</t>
  </si>
  <si>
    <t>SEALER BELT SIZE W: 35 mm.x L: 1,035 mm.</t>
  </si>
  <si>
    <t>210264A55</t>
  </si>
  <si>
    <t xml:space="preserve"> LED STREETLIGHT 100W 15,000 LM "CHIN"MODEL : CH-STHY-100YF12LD-3</t>
  </si>
  <si>
    <t>210264BT017</t>
  </si>
  <si>
    <t xml:space="preserve">ว่าจ้างพร้อมอุปกรณ์ในการซ่อมรถยกไฟฟ้า"NICHIYU" รุ่น FB20PN-60C-326SCC </t>
  </si>
  <si>
    <t>210264R016</t>
  </si>
  <si>
    <t>ว่าจ้างพร้อมอุปกรณ์ในการซ่อมเปลี่ยนพวงมาลัย  และสายไฟมอเตอร์ของรถยกไฟฟ้า</t>
  </si>
  <si>
    <t>210264R017</t>
  </si>
  <si>
    <t xml:space="preserve">ว่าจ้างพร้อมอุปกรณ์ในการขึ้นรูปชิ้นงานคานรับน้ำหนัก และคานยึด LIFT     </t>
  </si>
  <si>
    <t>210264TRJ032</t>
  </si>
  <si>
    <t>0115555022335</t>
  </si>
  <si>
    <t xml:space="preserve">บริษัท เอ็นพีที กรีน จำกัด   </t>
  </si>
  <si>
    <t>ปะเก็นท่อลำเลียงยาเส้น PP WhiteDia.158x125.5x12 mm. (งานตามแบบ)</t>
  </si>
  <si>
    <t>210264TRJ033</t>
  </si>
  <si>
    <t>ป้ายอะคริลิคถังดับเพลิง ขนาด 20x30 ซม.หนา 2 มม.</t>
  </si>
  <si>
    <t>210264V002</t>
  </si>
  <si>
    <t>210264BR003</t>
  </si>
  <si>
    <t>บริษัท เพ็ชรไฟน์ จำกัด</t>
  </si>
  <si>
    <t>BALL BEARING ADR 2.5-ZZ</t>
  </si>
  <si>
    <t>8 มกราคม 2564</t>
  </si>
  <si>
    <t>210264A57</t>
  </si>
  <si>
    <t>210264A58</t>
  </si>
  <si>
    <t>0105556052459</t>
  </si>
  <si>
    <t xml:space="preserve">บริษัท เจพีอาร์ ออโต้  เซ็นเตอร์ จำกัด </t>
  </si>
  <si>
    <t>U CUP VT0075 SIZE : 57 x 48 x 6 mm.</t>
  </si>
  <si>
    <t>210264A59</t>
  </si>
  <si>
    <t>0115535001103</t>
  </si>
  <si>
    <t>ROTARY ENCODER HEIDENHAIN ROD 426 x 2500 ID 376846-07</t>
  </si>
  <si>
    <t>210264A60</t>
  </si>
  <si>
    <t>SOLENOID VALVE 1/2" 24 VDC "MAC"56C-16-611JB</t>
  </si>
  <si>
    <t>210264A61</t>
  </si>
  <si>
    <t>SEAL NAK SA 72x95x10 ขอบเหล็ก 1 ชั้นมีเหล็กปิดด้านล่าง</t>
  </si>
  <si>
    <t>210264PRJ095</t>
  </si>
  <si>
    <t xml:space="preserve">บูชเทปล่อน ผ่าซีก MB014-010 ขนาด OD:16 ID:14 L:10 </t>
  </si>
  <si>
    <t>210264PRJ096</t>
  </si>
  <si>
    <t>ว่าจ้างพร้อมอุปกรณ์ในการซ่อมเปลี่ยนล้อโหลดพร้อมลูกปืน ของรถยก HANDLIFT TRUCK</t>
  </si>
  <si>
    <t>210264R019</t>
  </si>
  <si>
    <t>ข้อลดกลม PVC ขนาด 1" x 3/4"</t>
  </si>
  <si>
    <t>210264ST004</t>
  </si>
  <si>
    <t>และรายการอื่นๆรวม 33 รายการ</t>
  </si>
  <si>
    <t>0105528003155</t>
  </si>
  <si>
    <t xml:space="preserve">"PROMINENT" PACKAGES COMPACT pH (038-COMPACT.01) CONTROLLER TYPE : </t>
  </si>
  <si>
    <t>11 มกราคม 2564</t>
  </si>
  <si>
    <t>210264A62</t>
  </si>
  <si>
    <t>DCCaW006PR0010EN และรายการอื่นๆรวม 2 รายการ</t>
  </si>
  <si>
    <t>SHEAR PIN</t>
  </si>
  <si>
    <t>210264A63</t>
  </si>
  <si>
    <t>BELT GG 10/15 YELLOW/GREEN W: 10 mm. x L: 650 mm. 1.6 mm. Endless</t>
  </si>
  <si>
    <t>210264A64</t>
  </si>
  <si>
    <t>0133555005536</t>
  </si>
  <si>
    <t xml:space="preserve">ห้างหุ้นส่วนจำกัดนิยมรุ่งเรืองกิจ การไฟฟ้า  </t>
  </si>
  <si>
    <t>210264พ/วศ.09</t>
  </si>
  <si>
    <t>0105559184615</t>
  </si>
  <si>
    <t>บริษัท วาย แอล บี ชัตเตอร์ จำกัด</t>
  </si>
  <si>
    <t>ว่าจ้างพร้อมอุปกรณ์ในการซ่อม ประตูม้วนที่คลังพัสดุ อาคาร B07 ชั้น 2 โซน 4</t>
  </si>
  <si>
    <t>12 มกราคม 2564</t>
  </si>
  <si>
    <t>210264GT002</t>
  </si>
  <si>
    <t>กองคลังสินค้า ฝ่ายจัดหาและรักษาพัสดุ</t>
  </si>
  <si>
    <t xml:space="preserve">สายไฟ NYY ขนาด 1x16ตร.มม. "YAZAKI"(ม้วนละ 100 เมตร)
</t>
  </si>
  <si>
    <t>210264PRJ097</t>
  </si>
  <si>
    <t>สายไฟ NYY ขนาด 1x10ตร.มม. "YAZAKI"</t>
  </si>
  <si>
    <t>210264PRJ098</t>
  </si>
  <si>
    <t>DIGITAL THERMOSTAT รุ่น T6812DP08  "HONEY WELL"</t>
  </si>
  <si>
    <t>210264R014</t>
  </si>
  <si>
    <t>ปั๊มลม "GAST" 4LCB-46S-M 450 GX MOTOR 1/2HP 50Hz 220V 1PH</t>
  </si>
  <si>
    <t>210264RR021</t>
  </si>
  <si>
    <t>0105543111516</t>
  </si>
  <si>
    <t>บริษัท แมสเทค ลิ้งค์ จำกัด</t>
  </si>
  <si>
    <t>ว่าจ้างพร้อมอุปกรณ์ในการซ่อมเปลี่ยนBUTTERFLY VALVE ขนาด 14 นิ้ว จำนวน2ชุด</t>
  </si>
  <si>
    <t>210264RR022</t>
  </si>
  <si>
    <t xml:space="preserve">ของเครื่องทำน้ำเย็น หมายเลข 2 และ 3
</t>
  </si>
  <si>
    <t>SIREN LIGHT AND SOUND 40-285VAC IP65 สีแดง "ELFATEK"</t>
  </si>
  <si>
    <t>210264RR023</t>
  </si>
  <si>
    <t>ข้อต่อตรงเกลียวนอก HDPE ขนาด 20มม.x1/2"CNMC 020P15</t>
  </si>
  <si>
    <t>13 มกราคม 2564</t>
  </si>
  <si>
    <t xml:space="preserve"> 210264BT018</t>
  </si>
  <si>
    <t>สายอ่อนน้ำดี ชนิดลวดถัก ขนาด 1/2"x16"</t>
  </si>
  <si>
    <t>210264BT019</t>
  </si>
  <si>
    <t>0105556130093</t>
  </si>
  <si>
    <t>บริษัท เอ็มเอ็ม ออโต้พาร์ท จำกัด</t>
  </si>
  <si>
    <t>ว่าจ้างพร้อมอุปกรณ์ในการซ่อมรถกระเช้าไฟฟ้า</t>
  </si>
  <si>
    <t>210264C009</t>
  </si>
  <si>
    <t>0105541007151</t>
  </si>
  <si>
    <t xml:space="preserve">บริษัท คีย์เอ็นซ์ (ไทยแลนด์) จำกัด  </t>
  </si>
  <si>
    <t>PHOTOELECTRIC SENSOR UNIT COMPLETE SET</t>
  </si>
  <si>
    <t>14 มกราคม 2564</t>
  </si>
  <si>
    <t>210264A65</t>
  </si>
  <si>
    <t>0135551001066</t>
  </si>
  <si>
    <t xml:space="preserve">บริษัท เฟสโต้ จำกัด </t>
  </si>
  <si>
    <t>COMPACT CYLINDER "FESTO" ADN-20-10-A-P-A</t>
  </si>
  <si>
    <t xml:space="preserve"> 210264A66 </t>
  </si>
  <si>
    <t> 0105541050170</t>
  </si>
  <si>
    <t>UNIVER VALVE AF-2601</t>
  </si>
  <si>
    <t>210264A67</t>
  </si>
  <si>
    <t xml:space="preserve">กล่องรับสัญญาณ ทีวีดาวเทียม ทีวีดิจิตอล รุ่น AEC Gold + RF "INFOSAT"
</t>
  </si>
  <si>
    <t xml:space="preserve"> 210264D005</t>
  </si>
  <si>
    <t>0125561000615 </t>
  </si>
  <si>
    <t xml:space="preserve">ว่าจ้างพร้อมอุปกรณ์ในการซ่อมรถยก ไฟฟ้าMITSUBISHI S/N 241AC8075 รุ่น FB20CA
</t>
  </si>
  <si>
    <t>210264R022</t>
  </si>
  <si>
    <t>สายไฟ VCT/GRD 2x6/6 ตร.มม. "YAZAKI"(100 เมตร/ม้วน)</t>
  </si>
  <si>
    <t>210264T002</t>
  </si>
  <si>
    <t>น็อตเหล็กแข็งพร้อมแหวนสปริง ขนาด 24 มม.</t>
  </si>
  <si>
    <t>210264TRJ034</t>
  </si>
  <si>
    <t xml:space="preserve">บริษัท เอสโอซี เอ็นจิเนียริ่ง จำกัด </t>
  </si>
  <si>
    <t>"API" TEE CONNECTOR FITTING MODEL : R23 08 08</t>
  </si>
  <si>
    <t>210264TRJ035</t>
  </si>
  <si>
    <t>15 มกราคม 2564</t>
  </si>
  <si>
    <t>210264A68</t>
  </si>
  <si>
    <t>สกรูหัวหกเหลี่ยมมิลดำ พร้อมน็อต ขนาด 3 มม. x 16 มม.</t>
  </si>
  <si>
    <t>18 มกราคม 2564</t>
  </si>
  <si>
    <t>2102641A020</t>
  </si>
  <si>
    <t>"AMI-ELEKTRONIK" ENCODER MODEL : 82178 TYPE : 100/180</t>
  </si>
  <si>
    <t>210264A69</t>
  </si>
  <si>
    <t xml:space="preserve">บริษัท พี.ประชุม  จำกัด </t>
  </si>
  <si>
    <t>ESBAND ENDLESS FLAT BELTS TYPE : NR 22 SIZE 786x32.0x1.3 mm.</t>
  </si>
  <si>
    <t>210264A70</t>
  </si>
  <si>
    <t>0105554114465</t>
  </si>
  <si>
    <t>BELT F-1 GREEN SIZE W: 10 mm.x L: 350 mm.x T: 1.25 mm. EL</t>
  </si>
  <si>
    <t>210264A71</t>
  </si>
  <si>
    <t xml:space="preserve">สายพาน TIMING BELT 16AT5/975 "GATES" </t>
  </si>
  <si>
    <t>210264PRJ099</t>
  </si>
  <si>
    <t>ว่าจ้างพร้อมอุปกรณ์ในการซ่อมรถยก ไฟฟ้า  KOMATSU รุ่น FB20EX-8</t>
  </si>
  <si>
    <t>210264R018</t>
  </si>
  <si>
    <t>FL SWITCH SMCS 8GT-2891123 "PHOENIXCONTACT"</t>
  </si>
  <si>
    <t>210264TRJ036</t>
  </si>
  <si>
    <t>0105539056689</t>
  </si>
  <si>
    <t>บริษัท เมทเล่อร์-โทเลโด (ประเทศไทย)  จำกัด</t>
  </si>
  <si>
    <t xml:space="preserve">ว่าจ้างพร้อมอุปกรณ์ในการสอบเทียบเครื่องชั่งน้ำหนัก ขนาด 3,000 กิโลกรัม จำนวน 2 เครื่อง </t>
  </si>
  <si>
    <t>210264TRJ037</t>
  </si>
  <si>
    <t xml:space="preserve">ว่าจ้างพร้อมอุปกรณ์ในการสอบเทียบเครื่องชั่งน้ำหนัก ขนาด 60 กิโลกรัม จำนวน 4 เครื่อง </t>
  </si>
  <si>
    <t>210264TRJ038</t>
  </si>
  <si>
    <t> 0105536141332</t>
  </si>
  <si>
    <t xml:space="preserve">บริษัท ยูนิไทย กรุ๊ป จำกัด </t>
  </si>
  <si>
    <t>ว่าจ้างพร้อมอุปกรณ์ในการสอบเทียบเครื่องวัดความชื้น MOISTURE METER จำนวน  4 ชุด</t>
  </si>
  <si>
    <t>210264TRJ039</t>
  </si>
  <si>
    <t>บริษัท ยูนิไทย กรุ๊ป จำกัด</t>
  </si>
  <si>
    <t xml:space="preserve">ว่าจ้างพร้อมอุปกรณ์ในการสอบเทียบชุดวัดน้ำหนัก LOAD CELL ถัง AB-44 จำนวน 3 ชุด </t>
  </si>
  <si>
    <t>210264TRJ040</t>
  </si>
  <si>
    <t>ว่าจ้างพร้อมอุปกรณ์ในการขึ้นรูป ชิ้นงาน GUARD ป้องกันมีดตัดใบยา L/R กล่องยาชิ้นส่วนเครื่อง TSVM</t>
  </si>
  <si>
    <t>210264TRJ041</t>
  </si>
  <si>
    <t>อลูมิเนียมอัลลอยด์ เกรด 7075 ขนาด D.2"x 1 เมตร</t>
  </si>
  <si>
    <t>19 มกราคม 2564</t>
  </si>
  <si>
    <t>210264PRJ100</t>
  </si>
  <si>
    <t>BEARING SKF 63800-2Z</t>
  </si>
  <si>
    <t>210264PRJ101</t>
  </si>
  <si>
    <t>สวิทช์ทางเดียว 2 สาย M9001 "BTICINO"</t>
  </si>
  <si>
    <t>210264RR024</t>
  </si>
  <si>
    <t> 0135561026941</t>
  </si>
  <si>
    <t xml:space="preserve">บริษัท เอส.เค.เอส ดีไซน์ แอนด์ โปรดักชั่น </t>
  </si>
  <si>
    <t xml:space="preserve">FLANGED WHEELS MATERIAL SS400 ,ZINCCOATING COATING </t>
  </si>
  <si>
    <t>20 มกราคม 2564</t>
  </si>
  <si>
    <t>210264A72</t>
  </si>
  <si>
    <t>เอ็นจิเนียริ่ง จำกัด</t>
  </si>
  <si>
    <t>0105543106610</t>
  </si>
  <si>
    <t>บริษัท อินเตอร์ เท็ค. เซอร์วิส จำกัด</t>
  </si>
  <si>
    <t>TRANSPORT BAND NASTA Size 2,715 x 17.5 mm. TYPE GG300-4FCA</t>
  </si>
  <si>
    <t>210264A73</t>
  </si>
  <si>
    <t xml:space="preserve">ว่าจ้างซ่อมเปลี่ยนท่อเมนน้ำประปา ขนาด63 มม. (HOPE) แตกชำรุดภายใน TRENCH
</t>
  </si>
  <si>
    <t>210264BT020</t>
  </si>
  <si>
    <t>ระหว่าง อาคาร B02 และ B01 ยสท. อยุธยา</t>
  </si>
  <si>
    <t>ว่าจ้างพร้อมอุปกรณ์ในการซ่อมเปลี่ยน ท่อเมนน้ำประปา ขนาด D. 40 มม.</t>
  </si>
  <si>
    <t>210264GT003</t>
  </si>
  <si>
    <t>บริเวณฟุตบาท ด้านข้างอาคาร B07</t>
  </si>
  <si>
    <t>ป้ายประตูฉุกเฉิน AUTOMATIC EXIT LIGHT MODEL FHB 111 ED (BOX TYPE 1SIDE) LED</t>
  </si>
  <si>
    <t xml:space="preserve"> 210264GT004</t>
  </si>
  <si>
    <t>LAMP 1 x 15W SLA BATTERY 12V 2.9Ah</t>
  </si>
  <si>
    <t xml:space="preserve">CUSTOMIZED BRAKING RESISTOR-50โอห์ม 1500 W-GREEN BODY-WIRE TERMINAL BLOCK
</t>
  </si>
  <si>
    <t>210264PRJ102</t>
  </si>
  <si>
    <t>INCLUDED</t>
  </si>
  <si>
    <t>"BONFIGLIOLI" WORM GEAR : VF 44 F2 i:7P63 B5 B6+</t>
  </si>
  <si>
    <t xml:space="preserve">210264PRJ103 </t>
  </si>
  <si>
    <t>SEAL AMD TC 30x42x7 VITON</t>
  </si>
  <si>
    <t xml:space="preserve">210264PRJ104 </t>
  </si>
  <si>
    <t xml:space="preserve">สายพาน # T10-630-15MM."GATES" </t>
  </si>
  <si>
    <t xml:space="preserve">210264PRJ105 </t>
  </si>
  <si>
    <t>โคมฉาย LED Floodlight 100W/6000Kแสงสีขาว "GATA"</t>
  </si>
  <si>
    <t>21 มกราคม 2564</t>
  </si>
  <si>
    <t>210264BT021</t>
  </si>
  <si>
    <t>ENDMILL HSS (2ฟัน) 2300 DIA.8x11x61 mm."FRANKEN"</t>
  </si>
  <si>
    <t>210264P008</t>
  </si>
  <si>
    <t>ตู้เชื่อม WELLPRO 200A</t>
  </si>
  <si>
    <t xml:space="preserve">210264P009 </t>
  </si>
  <si>
    <t>และรายการอื่นๆรวม 13 รายการ</t>
  </si>
  <si>
    <t>"IFM" RETRO-REFLECTIVE SENSOR MODEL :07P200</t>
  </si>
  <si>
    <t xml:space="preserve">210264PRJ106 </t>
  </si>
  <si>
    <t>0135558020520</t>
  </si>
  <si>
    <t xml:space="preserve">บริษัท แสงไกรทรัพย์เจริญเซอร์วิส จำกัด </t>
  </si>
  <si>
    <t>ว่าจ้างพร้อมอุปกรณ์ในการซ่อม SERVODRIVE ยี่ห้อ "LENZE" รุ่น EVS9324-ES</t>
  </si>
  <si>
    <t>210264PRJ107</t>
  </si>
  <si>
    <t>S/N : 0000011 ของเครื่องมวนก้นกรอง PM5E</t>
  </si>
  <si>
    <t>ว่าจ้างพร้อมอุปกรณ์ในการซ่อมเปลี่ยนCELL BATTERY และ กระบอกเลี้ยวของรถยกไฟฟ้า HYSTER</t>
  </si>
  <si>
    <t>ว่าจ้างพร้อมอุปกรณ์ในการซ่อมรถยก ไฟฟ้า HELI  S/N 05020E1812C2 รุ่น CPD20-C</t>
  </si>
  <si>
    <t>210264R026</t>
  </si>
  <si>
    <t>0105536022643</t>
  </si>
  <si>
    <t>บริษัท โตเซน อินดัสเตรียล จำกัด</t>
  </si>
  <si>
    <t>SUS316L-20AX1000MML. C/W FITTING Stainless Flexible Hose</t>
  </si>
  <si>
    <t>210264TRJ042</t>
  </si>
  <si>
    <t xml:space="preserve">ห้างหุ้นส่วนจำกัด พศิน เอ็นจิเนียริ่ง แอนด์ </t>
  </si>
  <si>
    <t xml:space="preserve">ว่าจ้างพร้อมอุปกรณ์ในการติดตั้งเครื่องปรับอากาศ ที่ห้องทำงานกองรักษาความปลอดภัย จำนวน 2 ชุด </t>
  </si>
  <si>
    <t>22 มกราคม 2564</t>
  </si>
  <si>
    <t>210264R023</t>
  </si>
  <si>
    <t>PROFILE SYSTEM WCS3 (1pce/6 metre)</t>
  </si>
  <si>
    <t>25 มกราคม 2564</t>
  </si>
  <si>
    <t>210264A74</t>
  </si>
  <si>
    <t xml:space="preserve">O RING ไวตัน # AS254 (วงเล็ก) </t>
  </si>
  <si>
    <t>210264PRJ108</t>
  </si>
  <si>
    <t>Power supply terminal for E-bus Model :EL9410 "BECKHOFF"</t>
  </si>
  <si>
    <t>210264PRJ109</t>
  </si>
  <si>
    <t>LOCTITE No.573 (50ml.)</t>
  </si>
  <si>
    <t>210264PRJ110</t>
  </si>
  <si>
    <t>ว่าจ้างพร้อมอุปกรณ์ในการซ่อมรถยก ไฟฟ้า  JUNGHEINRICH S/N FN 908215</t>
  </si>
  <si>
    <t>210264R024</t>
  </si>
  <si>
    <t>SUCTION TAPE Type : KTU14.1 Size 4,630x8.2 mm.</t>
  </si>
  <si>
    <t>26 มกราคม 2564</t>
  </si>
  <si>
    <t>210264A75</t>
  </si>
  <si>
    <t xml:space="preserve">คอนแทคช่วย CAL5 "ABB" </t>
  </si>
  <si>
    <t>210264RR025</t>
  </si>
  <si>
    <t xml:space="preserve">ETHERNET MODULES FL SWITCH SMCS 8GTPHOENIX CONTACT PART NO. 2891123
</t>
  </si>
  <si>
    <t>27 มกราคม 2564</t>
  </si>
  <si>
    <t>210264A76</t>
  </si>
  <si>
    <t xml:space="preserve">"ESBELT" PVC. CONVEYOR BELT TYPEU15/2TS21F WH SIZE W: 600 mm. x L:33,000 mm.
</t>
  </si>
  <si>
    <t>210264A77</t>
  </si>
  <si>
    <t>บริษัท ไพโอเนียร์ โอเชี่ยน เฟรท จำกัด</t>
  </si>
  <si>
    <t xml:space="preserve">ท่อยาง-IVG-1443151 : VINOFLEXEASY+ANTISTATIC COPPER WIRE ID-51
</t>
  </si>
  <si>
    <t>210264A78</t>
  </si>
  <si>
    <t>บริษัท ฟิลเตอร์ วิชั่น จำกัด (มหาชน)</t>
  </si>
  <si>
    <t>EVERPURE Carbon Block 0.5 Micron Model: 4FC (P/N :969221)</t>
  </si>
  <si>
    <t>210264D006</t>
  </si>
  <si>
    <t>ว่าจ้างเหมาพร้อมอุปกรณ์ในการขึ้นรูปชิ้นงาน SUPPOT ยึด HEATER LEFT ชิ้นส่วนเครื่อง Delta-W No.15</t>
  </si>
  <si>
    <t>210264PRJ111</t>
  </si>
  <si>
    <t xml:space="preserve">ว่าจ้างพร้อมอุปกรณ์ในการซ่อมเครื่อง ปรับอากาศ ของตู้ควบคุมไฟฟ้า ของเครื่อง ALFA RAM NO.27 </t>
  </si>
  <si>
    <t>210264PRJ112</t>
  </si>
  <si>
    <t>จ้างเหมาสอบเทียบสายพานชั่งน้ำหนัก WEIGING CONVEYOR จำนวน 17 ชุด</t>
  </si>
  <si>
    <t>210264พ/วศ.12</t>
  </si>
  <si>
    <t>SIMATIC DP, ELECTRONICS MODULE FOR ET200SP, F-DI 8x 24 V DC</t>
  </si>
  <si>
    <t>28 มกราคม 2564</t>
  </si>
  <si>
    <t>210264A79</t>
  </si>
  <si>
    <t>SEAL AMD TC 25x40x7  VITON</t>
  </si>
  <si>
    <t>210264PRJ113</t>
  </si>
  <si>
    <t xml:space="preserve">KIT INGRAN.TRASM.+BUSSOLA REGOL.B1 (Pos5,6,7,8,55) </t>
  </si>
  <si>
    <t>29 มกราคม 2564</t>
  </si>
  <si>
    <t>210264A81</t>
  </si>
  <si>
    <t>มอเตอร์แอร์ FASCO NO.D7465 JVA-A 12SFAS 200D 6P</t>
  </si>
  <si>
    <t>210264BR004</t>
  </si>
  <si>
    <t>0105554055744</t>
  </si>
  <si>
    <t>บริษัท เฟื่องฟู อิเล็คทรอนิกส์ จำกัด</t>
  </si>
  <si>
    <t>HEATER แบบหนวด 120V 400W</t>
  </si>
  <si>
    <t>210264PRJ114</t>
  </si>
  <si>
    <t>วาล์วลูกลอยสแตนเลส ขนาด 2"พร้อมก้านสแตนเลส</t>
  </si>
  <si>
    <t>210264RR026</t>
  </si>
  <si>
    <t>WAY VALVE ขนาด 3/4" รุ่น VG4400GC-C "JOHNSON CONTROL"</t>
  </si>
  <si>
    <t>210264RR027</t>
  </si>
  <si>
    <t xml:space="preserve">ว่าจ้างพร้อมอุปกรณ์ในการซ่อมเปลี่ยน ชุดDAMPER แบบ GRAVITY </t>
  </si>
  <si>
    <t>210264RR028</t>
  </si>
  <si>
    <t>ขนาด2,100มม.x2,100มม. จำนวน 2 ชุด</t>
  </si>
  <si>
    <t xml:space="preserve">งานซื้ออะไหล่ ของระบบ AIR WASHER ที่อาคารโรงงานผลิตหลัก </t>
  </si>
  <si>
    <t>210264พ/วศ.08</t>
  </si>
  <si>
    <t>0105557123309</t>
  </si>
  <si>
    <t>บริษัท เรืองกิจเจริญ เอ็นจิเนียริ่ง จำกัด</t>
  </si>
  <si>
    <t xml:space="preserve">จ้างเหมาติดตั้งตู้เมนไฟฟ้าพร้อมอุปกรณ์และค่าติดตั้ง </t>
  </si>
  <si>
    <t>210264พ/วศ.10</t>
  </si>
  <si>
    <t>0103545008133</t>
  </si>
  <si>
    <t>ห้างหุ้นส่วนจำกัด ที.พี.จ๊อบ อิเล็คทริค</t>
  </si>
  <si>
    <t>งานซ่อมแซ่มระบบกล้องโทรทัศน์วงจรปิด ภายในอาคาร B-03</t>
  </si>
  <si>
    <t>210264พ/วศ.11</t>
  </si>
  <si>
    <t>ซื้ออะไหล่ Consumable Part สายพานมวนบุหรี่ ยี่ห้อ ESBAND สำหรับใช้กับกลุ่มเครื่องจักรผลิตบุหรี่</t>
  </si>
  <si>
    <t xml:space="preserve"> 210664อ/วศ.13</t>
  </si>
  <si>
    <t>จำนวน 7 รายการ</t>
  </si>
  <si>
    <t>0105557062385</t>
  </si>
  <si>
    <t>PHOTOELECTRIC SENSOR "SICK"D79183/WE18-3P430</t>
  </si>
  <si>
    <t>1 กุมภาพันธ์ 2564</t>
  </si>
  <si>
    <t>210264A80</t>
  </si>
  <si>
    <t xml:space="preserve">BEARING 548FA25-2 6568580-000-02 TA0180 </t>
  </si>
  <si>
    <t>210264PRJ115</t>
  </si>
  <si>
    <t>"FLEXOID" ปะเก็นกระดาษ ขนาด หนา 0.4มม.x1 เมตร</t>
  </si>
  <si>
    <t>210264PRJ116</t>
  </si>
  <si>
    <t>มอเตอร์พัดลม "ECOFIT" รุ่น 2RRE15 192x40R</t>
  </si>
  <si>
    <t>210264PRJ117</t>
  </si>
  <si>
    <t>แผ่น CAST NYLON IVORY SHEET 5mm.x1m.x2m.</t>
  </si>
  <si>
    <t>210264PRJ118</t>
  </si>
  <si>
    <t>ยอยยาง โตนอก 39 มม. หนา 12 มม.รู 18 มม.</t>
  </si>
  <si>
    <t>210264PRJ119</t>
  </si>
  <si>
    <t>"ESBELT" PVC. CONVEYOR ENDLESS BELTTYPE CLINA 10 FF SIZE W=168mm. X</t>
  </si>
  <si>
    <t>210264PRJ120</t>
  </si>
  <si>
    <t>SEAL SKF 50x65x8 HMSA10V ซีลขอบยาง 2ชั้น VITON</t>
  </si>
  <si>
    <t xml:space="preserve"> 210264PRJ121</t>
  </si>
  <si>
    <t>และรายการอื่นๆรวม 17 รายการ</t>
  </si>
  <si>
    <t>ว่าจ้างพร้อมอุปกรณ์ในการสอบเทียบ  WC-30 WEIGHING CONVEYOR จำนวน 3 ชุด</t>
  </si>
  <si>
    <t>210264TRJ043</t>
  </si>
  <si>
    <t xml:space="preserve">ลวดเชื่อมสแตนเลส 308L ขนาด 4มม."YAWATA" (ขนาดบรรจุ 5กก.)
</t>
  </si>
  <si>
    <t>210264TRJ044</t>
  </si>
  <si>
    <t> 0105544020492</t>
  </si>
  <si>
    <t xml:space="preserve"> บริษัท โกลบอลโทรนิค อินเตอร์เทรด จำกัด</t>
  </si>
  <si>
    <t xml:space="preserve">"PHOENIX CONTACT" PARTNO.2891123,SWITCH,8 PORTS,INDUSTRIAL,MANAGED GIGABIT
</t>
  </si>
  <si>
    <t>210264TRJ045</t>
  </si>
  <si>
    <t>ETHERNET, DIN RAIL,RJ45 x 8, 10 MBPS 100 MBPS, 1 GBPS</t>
  </si>
  <si>
    <t>BELT F-1 Size W : 10 mm. x L : 352 mm. Endless</t>
  </si>
  <si>
    <t>2 กุมภาพันธ์ 2564</t>
  </si>
  <si>
    <t>210264A82</t>
  </si>
  <si>
    <t>0105542011976</t>
  </si>
  <si>
    <t xml:space="preserve">"LENZE" INVERTER i510-C0.37/400-3, 0.37KW, 0.5HP
</t>
  </si>
  <si>
    <t>3 กุมภาพันธ์ 2564</t>
  </si>
  <si>
    <t>210264A83</t>
  </si>
  <si>
    <t>บริษัท โพรมิเน้นท์ ฟลูอิด คอนโทรลส์</t>
  </si>
  <si>
    <t>"PROMINENT" LEVEL SWITCH KIT COMPLETE  PVDF, TWO-STAGE WITH LEAD DN10/15</t>
  </si>
  <si>
    <t xml:space="preserve">210264A84 </t>
  </si>
  <si>
    <t>210264BT022</t>
  </si>
  <si>
    <t xml:space="preserve">ว่าจ้างพร้อมอุปกรณ์ในการซ่อมเปลี่ยนท่อเมนน้ำประปา (HDPE) ขนาด D.8 นิ้ว และขนาด D.6 นิ้ว 
                                                               </t>
  </si>
  <si>
    <t>210264BT023</t>
  </si>
  <si>
    <t>แตกชำรุดภายใน TRENCH</t>
  </si>
  <si>
    <t xml:space="preserve">ว่าจ้างพร้อมอุปกรณ์ในการขึ้นรูป  ชิ้นงานชุดยกซองบุหรี่ขึ้นสำหรับพับด้านข้าง </t>
  </si>
  <si>
    <t>210264PRJ122</t>
  </si>
  <si>
    <t>อลูมิเนียมอัลลอยด์สี่เหลี่ยม เกรด 7075ขนาด 40มม.x45มม.x1เมตร</t>
  </si>
  <si>
    <t>210264PRJ123</t>
  </si>
  <si>
    <t>0105538081655</t>
  </si>
  <si>
    <t xml:space="preserve">"BONFIGLIOLI" WORM GEAR VF 44 F i:7 P63 B5 + MOTOR BN63B : 0.18 Kw 4P B5
</t>
  </si>
  <si>
    <t>4 กุมภาพันธ์ 2564</t>
  </si>
  <si>
    <t>210264A85</t>
  </si>
  <si>
    <t>วาล์วน้ำ ขนาด 1/2"พร้อมลูกลอยสแตนเลสก้านทองเหลือง</t>
  </si>
  <si>
    <t>210264R027</t>
  </si>
  <si>
    <t xml:space="preserve">ว่าจ้างพร้อมอุปกรณ์ในการซ่อมรถยก ไฟฟ้า KOMATSU รุ่น FB20EX-8 </t>
  </si>
  <si>
    <t>210264R028</t>
  </si>
  <si>
    <t>BELLOW SEAL GLOBE VALVE PN40 DN50 "ARI"</t>
  </si>
  <si>
    <t>210264RR029</t>
  </si>
  <si>
    <t>0105540006321</t>
  </si>
  <si>
    <t>บริษัท แพลนเนท ที แอนด์ เอส จำกัด</t>
  </si>
  <si>
    <t>COLOR SENSOR "SICK" CS81-P1112</t>
  </si>
  <si>
    <t>5 กุมภาพันธ์ 2564</t>
  </si>
  <si>
    <t xml:space="preserve">210264A86 </t>
  </si>
  <si>
    <t>CHAIN LINK</t>
  </si>
  <si>
    <t>210264A87</t>
  </si>
  <si>
    <t>"LENZE" INVERTER 8200 SERIES TYPEE82EV371K2C,0.37 KW, 1 PHASE</t>
  </si>
  <si>
    <t>210264A88</t>
  </si>
  <si>
    <t>010554609307</t>
  </si>
  <si>
    <t>BOXED QTM012 V8.xx ENG/SPANISH PROGRAM"DUAL USE-NLR"</t>
  </si>
  <si>
    <t>210264A89</t>
  </si>
  <si>
    <t>210264A90</t>
  </si>
  <si>
    <t>210264A91</t>
  </si>
  <si>
    <t>0105529044211</t>
  </si>
  <si>
    <t>บริษัท อดัมส์ เอ็นเตอร์ไพรเซส จำกัด</t>
  </si>
  <si>
    <t>PROBE</t>
  </si>
  <si>
    <t>210264A92</t>
  </si>
  <si>
    <t>0135561026941 </t>
  </si>
  <si>
    <t>บริษัท เอส.เค.เอส ดีไซน์ แอนด์ โปรดักชั่น</t>
  </si>
  <si>
    <t>SUPPORT CONVEYOR MATERIAL: BRASS</t>
  </si>
  <si>
    <t>210264A93</t>
  </si>
  <si>
    <t xml:space="preserve">ประแจหกเหลี่ยมตัวแอลชุบขาว แบบยาว รุ่น AQ KS910 "ASAHI"
</t>
  </si>
  <si>
    <t>210264P010</t>
  </si>
  <si>
    <t>0105549042931</t>
  </si>
  <si>
    <t>บริษัท ทีพีเค ฟอร์คลิฟท์ เซอร์วิส จำกัด</t>
  </si>
  <si>
    <t>ว่าจ้างพร้อมอุปกรณ์ในการซ่อมเปลี่ยนชุดบังคับเลี้ยว ของรถยกไฟฟ้า HYSTER S/NB226R01670B</t>
  </si>
  <si>
    <t>210264R021</t>
  </si>
  <si>
    <t>0105548048669</t>
  </si>
  <si>
    <t>บริษัท เอสโอซี เอ็นจิเนียริ่ง จำกัด</t>
  </si>
  <si>
    <t>STAINLESS STEEL COUPLING SIZE : 1/2"</t>
  </si>
  <si>
    <t>210264R025</t>
  </si>
  <si>
    <t>ห้างหุ้นส่วนจำกัด ร่วมเจริญ เอ็นจิเนียริ่ง</t>
  </si>
  <si>
    <t>TAC-24PI Room Temp.Controller (PI),LCDdisplay,0/2-10VDC output,24 Vac</t>
  </si>
  <si>
    <t>8 กุมภาพันธ์ 2564</t>
  </si>
  <si>
    <t>210264RRJ002</t>
  </si>
  <si>
    <t>แอนด์ ซัพพลาย</t>
  </si>
  <si>
    <t>OXYGEN GAS - IND GRADE (PURITY 99.5%) ขนาดบรรจุถังละ 7 ลูกบาศก์เมตร</t>
  </si>
  <si>
    <t>210264W002</t>
  </si>
  <si>
    <t>BEARING INA LR 607-2RSR</t>
  </si>
  <si>
    <t>210264A94</t>
  </si>
  <si>
    <t>บริษัท สไปแร็กซ์ ซาร์โก (ประเทศไทย) จำกัด</t>
  </si>
  <si>
    <t xml:space="preserve">"SPIRAX SARCO" BRV2S PRESSURE REDUCINGVALVE 25MM PN25 GREEN KVMAX : 3
</t>
  </si>
  <si>
    <t>210264A95</t>
  </si>
  <si>
    <t>ว่าจ้างพร้อมอุปกรณ์ในการซ่อมเปลี่ยนท่อเมนน้ำรดน้ำต้นไม้ ขนาด D.40 มม.ชำรุดรั่วใต้ดิน</t>
  </si>
  <si>
    <t>210264BT024</t>
  </si>
  <si>
    <t>บริเวณแนวฟุตบาทริมรั้วตรงข้ามห้อง</t>
  </si>
  <si>
    <t>ว่าจ้างพร้อมอุปกรณ์ในการซ่อมเครื่องกัดโลหะ DECKEL รุ่น FP4MA</t>
  </si>
  <si>
    <t>210264C010</t>
  </si>
  <si>
    <t>013555100106</t>
  </si>
  <si>
    <t>SOLENOID VALVE "FESTO" CPV14-M1H-2X3- GLS-1/8</t>
  </si>
  <si>
    <t>9 กุมภาพันธ์ 2564</t>
  </si>
  <si>
    <t>210264A96</t>
  </si>
  <si>
    <t>บริษัท คีย์เอ็นซ์ (ไทยแลนด์) จำกัด</t>
  </si>
  <si>
    <t>210264A97</t>
  </si>
  <si>
    <t> 0135547009511</t>
  </si>
  <si>
    <t>บริษัท ทีดีเอส เทคโนโลยี (ประเทศไทย) จำกัด</t>
  </si>
  <si>
    <t>"BECKHOFF" MODEL EL1008 : 8-CHANNELDIGITAL INPUT TERMINAL 24V DC</t>
  </si>
  <si>
    <t>210264A98</t>
  </si>
  <si>
    <t xml:space="preserve">ว่าจ้างพร้อมอุปกรณ์ในการขึ้นรูป ชิ้นงาน LEVER ชิ้นส่วนเครื่องบรรจุหีบ PRB No.7
</t>
  </si>
  <si>
    <t>210264PRJ124</t>
  </si>
  <si>
    <t>0105522014465</t>
  </si>
  <si>
    <t>ว่าจ้างพร้อมอุปกรณ์ในการซ่อมเปลี่ยน ชุด MODULES AZ-20 ของเครื่อง HAUNI CUTTING</t>
  </si>
  <si>
    <t>210264TRJ046</t>
  </si>
  <si>
    <t>ยูเนี่ยน PVC ขนาด 1 1/2"</t>
  </si>
  <si>
    <t>210264TRJ047</t>
  </si>
  <si>
    <t>และรายการอื่นๆรวม 16 รายการ</t>
  </si>
  <si>
    <t>สวิทช์ทางเดียว 2 สาย M9001 "bTICINO"</t>
  </si>
  <si>
    <t>10 กุมภาพันธ์ 2564</t>
  </si>
  <si>
    <t>210264BT025</t>
  </si>
  <si>
    <t>UV LAMP TYPE S330-RL "R-CAN"</t>
  </si>
  <si>
    <t>210264D007</t>
  </si>
  <si>
    <t>ห้างหุ้นส่วนจำกัด เอส พี แอล โซลูชั่น</t>
  </si>
  <si>
    <t>ว่าจ้างพร้อมอุปกรณ์ในการซ่อมเปลี่ยนชุดเครื่องเสียง และไมโครโฟนไร้สาย ที่ห้องประชุม กองบริหารทั่วไป</t>
  </si>
  <si>
    <t>210264D008</t>
  </si>
  <si>
    <t>PRINTHEAD ASSEMBLY 53 MM. FOR VJ9550</t>
  </si>
  <si>
    <t>15 กุมภาพันธ์ 2564</t>
  </si>
  <si>
    <t>210264PRJ126</t>
  </si>
  <si>
    <t>BEARING SKF 625-2Z</t>
  </si>
  <si>
    <t>210264PRJ127</t>
  </si>
  <si>
    <t>COLOR SENSOR MODEL : CS81-P1112 # 1028224 "SICK"</t>
  </si>
  <si>
    <t>210264PRJ128</t>
  </si>
  <si>
    <t>สายอ่อนน้ำดีชนิดลวดถัก ขนาด 1/2" x16"</t>
  </si>
  <si>
    <t>210264RR031</t>
  </si>
  <si>
    <t>0105556170711</t>
  </si>
  <si>
    <t>บริษัท ไอกัส (ไทยแลนด์) จำกัด</t>
  </si>
  <si>
    <t>ชุดรัดสายไฟหัวท้าย 3275.ZC</t>
  </si>
  <si>
    <t>210264TRJ048</t>
  </si>
  <si>
    <t xml:space="preserve">ว่าจ้างพร้อมอุปกรณ์ในการขึ้นรูป ชิ้นงานFINISHING PLATE ชิ้นส่วนเครื่อง TROLLEY1 (139.02) </t>
  </si>
  <si>
    <t>210264TRJ049</t>
  </si>
  <si>
    <t>Y-STRAINER ขนาด 2" BSP PN25 "SPIRAX SARCO"</t>
  </si>
  <si>
    <t>210264TRJ050</t>
  </si>
  <si>
    <t>SIMATIC ET 200SP, DIGITAL OUTPUT MODULE, DQ 8x 24V DC/0.5A STANDARD</t>
  </si>
  <si>
    <t>16 กุมภาพันธ์ 2564</t>
  </si>
  <si>
    <t>210264A100</t>
  </si>
  <si>
    <t xml:space="preserve">TRANSPORT BAND NASTA Size 2,715 x 17.5 mm. TYPE GG300-4FCA
</t>
  </si>
  <si>
    <t>210264A99</t>
  </si>
  <si>
    <t>210264GT005</t>
  </si>
  <si>
    <t>0135563005231</t>
  </si>
  <si>
    <t>บริษัท นอร์ดสัน (ประเทศไทย) จำกัด</t>
  </si>
  <si>
    <t xml:space="preserve">ว่าจ้างพร้อมอุปกรณ์ในการซ่อมชุด PUMP  หม้อกาว HOTMELT SN #AA95L62121 (3500 SERIES) 
  </t>
  </si>
  <si>
    <t>210264PRJ129</t>
  </si>
  <si>
    <t>HYD. SHOCK ABSORBER "FESTO" YSR-8-8-C</t>
  </si>
  <si>
    <t>17 กุมภาพันธ์ 2564</t>
  </si>
  <si>
    <t>210264A101</t>
  </si>
  <si>
    <t>CARBON CURRENT COLLECTOR UNIT 081106-5303 16A REV</t>
  </si>
  <si>
    <t>210264A102</t>
  </si>
  <si>
    <t>ว่าจ้างพร้อมอุปกรณ์ในการขึ้นรูปชิ้นงานลูกเบี้ยวชิ้นส่วนเครื่องบรรจุซอง ALFA RAM No.23</t>
  </si>
  <si>
    <t>210264PRJ130</t>
  </si>
  <si>
    <t>0107555000091</t>
  </si>
  <si>
    <t xml:space="preserve">บริษัท ฟิลเตอร์ วิชั่น จำกัด (มหาชน) </t>
  </si>
  <si>
    <t xml:space="preserve">EVERPURE Carbon Block 0.5 Micron Model: 4FC (P/N : 969221)
  </t>
  </si>
  <si>
    <t>210264R029</t>
  </si>
  <si>
    <t>DP27 PRESSURE REDUCING VALVE 25MMPN16/25 RED "SPIRAX SARCO"</t>
  </si>
  <si>
    <t>210264RR030</t>
  </si>
  <si>
    <t>"ESBELT" PVC. CONVEYOR BELT TYPE CLINA21 CF (2 PLY/WHITE FDA./THICKNESS 2.40MM. WHI)</t>
  </si>
  <si>
    <t>210264TRJ051</t>
  </si>
  <si>
    <t xml:space="preserve"> SIZE W 1,000 MM. x L 8,000 MM.และรายการอื่นๆรวม 2 รายการ</t>
  </si>
  <si>
    <t>0105535095230</t>
  </si>
  <si>
    <t>บริษัท เวิลด์ไวด์ เทรด ไทย จำกัด</t>
  </si>
  <si>
    <t xml:space="preserve">"PORMINENT" PROBE DULCOTEST ELECTRODE PH SENSOR TYPE PHES-112SE
</t>
  </si>
  <si>
    <t>18 กุมภาพันธ์ 2564</t>
  </si>
  <si>
    <t>210264A103</t>
  </si>
  <si>
    <t>210264A104</t>
  </si>
  <si>
    <t xml:space="preserve">"MAKITA" ใบตัด ขนาด 4" x 1 มม. (10ใบ/กล่อง) </t>
  </si>
  <si>
    <t>210264P011</t>
  </si>
  <si>
    <t>011553700745</t>
  </si>
  <si>
    <t>บริษัท แอดวานซ์ จีโอ (กรุงเทพฯ) จำกัด</t>
  </si>
  <si>
    <t>ว่าจ้างพร้อมอุปกรณ์ในการทำแผ่น ACRYLIC ปิดห้องเกียร์ ชุด TIPPING UNIT</t>
  </si>
  <si>
    <t>210264PRJ131</t>
  </si>
  <si>
    <t>0105563084867</t>
  </si>
  <si>
    <t>บริษัท เอส.เอส.แกรนด์เทค จำกัด</t>
  </si>
  <si>
    <t>ว่าจ้างพร้อมอุปกรณ์ในการซ่อมจอ HMI TOUCH SCREEN ยี่ห้อ SIEMENS</t>
  </si>
  <si>
    <t>210264PRJ132</t>
  </si>
  <si>
    <t xml:space="preserve">AUTO DRAIN VALVE ขนาด 1/2" </t>
  </si>
  <si>
    <t>210264RR032</t>
  </si>
  <si>
    <t xml:space="preserve">สีสเปรย์ No.008 สีส้ม (ORANGE)ขนาดบรรจุ 400CC. "TOA"
</t>
  </si>
  <si>
    <t>210264TRJ052/1</t>
  </si>
  <si>
    <t xml:space="preserve">สายพาน V-BELT # SPB2900 "GATES" </t>
  </si>
  <si>
    <t>210264TRJ053</t>
  </si>
  <si>
    <t xml:space="preserve">OPTIBELT TIMING ZR 367 </t>
  </si>
  <si>
    <t>23 กุมภาพันธ์ 2564</t>
  </si>
  <si>
    <t>BALL BEARING 625-2Z</t>
  </si>
  <si>
    <t>และรายการอื่นๆรวม 21 รายการ</t>
  </si>
  <si>
    <t>0105533036945 </t>
  </si>
  <si>
    <t>"SPIRAX SARCO" BRV2S PRESSURE REDUCING VALVE 15MM PN25 GREEN</t>
  </si>
  <si>
    <t>210264A107</t>
  </si>
  <si>
    <t>"WAGO" RELAY MODULE MODEL: 859-304</t>
  </si>
  <si>
    <t>210264A108</t>
  </si>
  <si>
    <t>ลูกลอยพร้อมวาล์ว ขนาด 1/2"</t>
  </si>
  <si>
    <t>210264BR005</t>
  </si>
  <si>
    <t>ว่าจ้างพร้อมอุปกรณ์ในการซ่อมเปลี่ยนท่อเมนน้ำประปา HDPE ขนาด  D.63มม.</t>
  </si>
  <si>
    <t>210264BT026</t>
  </si>
  <si>
    <t xml:space="preserve">เซอร์กิจเบรคเกอร์ PLSM-C16/1 1P 16A "EATON"
</t>
  </si>
  <si>
    <t xml:space="preserve">210264PRJ125 </t>
  </si>
  <si>
    <t>ว่าจ้างพร้อมอุปกรณ์ในการซ่อม BOARD DELCOS 3100 และ MLS CARTRIDGE SPARE</t>
  </si>
  <si>
    <t>210264PRJ133</t>
  </si>
  <si>
    <t>PARTS COMPAIR ของเครื่องอัดอากาศ "COMP AIR" No.10030731</t>
  </si>
  <si>
    <t>DOUBLE ACTING CYL DSNU-25-80-P-A "FESTO"</t>
  </si>
  <si>
    <t>210264PRJ134</t>
  </si>
  <si>
    <t>0105556037581 </t>
  </si>
  <si>
    <t xml:space="preserve">บริษัท ลีฟเพาเวอร์ จำกัด </t>
  </si>
  <si>
    <t xml:space="preserve">ว่าจ้างพร้อมอุปกรณ์ในการซ่อมเครื่องปรับอากาศ AHU หมายเลข B02-2A03
</t>
  </si>
  <si>
    <t>210264PRJ135</t>
  </si>
  <si>
    <t>BEARING SKF 607-2RSH</t>
  </si>
  <si>
    <t>210264PRJ136</t>
  </si>
  <si>
    <t xml:space="preserve">"ABB" INVERTER TYPE : ACS580-01-12A7-4 (PHd : 4kW, IHd : 9.4 A, Frame Size R1,Heavy) </t>
  </si>
  <si>
    <t>210264PRJ137</t>
  </si>
  <si>
    <t xml:space="preserve">ว่าจ้างพร้อมอุปกรณ์ในการขึ้นรูป ชิ้นงาน PLATE ชิ้นส่วนเครื่องห่อสิบซอง DELTA-P NO.26 </t>
  </si>
  <si>
    <t>210264PRJ138</t>
  </si>
  <si>
    <t> 0103558001914</t>
  </si>
  <si>
    <t xml:space="preserve">เอ็นเทค ซิสเท็ม </t>
  </si>
  <si>
    <t>ว่าจ้างพร้อมอุปกรณ์ในการหล่อยาง ยูริเทนสีดำ ชิ้นส่วน RIBBON ROLLER เครื่องพิมพ์ BARCODE</t>
  </si>
  <si>
    <t>210264PRJ139</t>
  </si>
  <si>
    <t>VIQUA/STERILIGHT QS for S2Q-PA/2 (20x22.5x375 Open) Model : QS330</t>
  </si>
  <si>
    <t>210264R030</t>
  </si>
  <si>
    <t>210264R031</t>
  </si>
  <si>
    <t>0145558000189</t>
  </si>
  <si>
    <t>บริษัท อินสไปร์ เทรดดิ้ง จำกัด</t>
  </si>
  <si>
    <t>สายพานลายดอก 550EK40F</t>
  </si>
  <si>
    <t>24 กุมภาพันธ์ 2564</t>
  </si>
  <si>
    <t>210264A109</t>
  </si>
  <si>
    <t>BEARING INA F-223680.RNA</t>
  </si>
  <si>
    <t>210264A110</t>
  </si>
  <si>
    <t xml:space="preserve">EVERPURE Carbon Block 0.5 Micron Model  </t>
  </si>
  <si>
    <t>210264BR006</t>
  </si>
  <si>
    <t>PHOTOELECTRIC SENSORS "SICK" WTB16I- 39112120ZZZ</t>
  </si>
  <si>
    <t>25 กุมภาพันธ์ 2564</t>
  </si>
  <si>
    <t>210264A111</t>
  </si>
  <si>
    <t>0135562010746</t>
  </si>
  <si>
    <t xml:space="preserve">บริษัท กู๊ดสไมล์99 จำกัด </t>
  </si>
  <si>
    <t>BELT CONVEYOR SIZE 63.5 x 196 mm. MAT;S45C</t>
  </si>
  <si>
    <t>210264A112</t>
  </si>
  <si>
    <t>SUPPORT CONVEYOR L 1,570 x W 24.5 ;</t>
  </si>
  <si>
    <t>210264A113</t>
  </si>
  <si>
    <t>0105560060991</t>
  </si>
  <si>
    <t>บริษัท เอสที เซอร์วิส พาร์ท จำกัด</t>
  </si>
  <si>
    <t>SEAL SIZE : 17x12x2.3 mm. FOR SOLENOID</t>
  </si>
  <si>
    <t xml:space="preserve"> IO-LINK MASTER WITH ETHER CAT INTERFACEAL 1030</t>
  </si>
  <si>
    <t>210264A115</t>
  </si>
  <si>
    <t>ล้อ ESD 6 นิ้ว</t>
  </si>
  <si>
    <t>210264A116</t>
  </si>
  <si>
    <t xml:space="preserve">ปลั๊กกราวด์คู่ WEG15929 "PANASONIC" </t>
  </si>
  <si>
    <t>210264T003</t>
  </si>
  <si>
    <t>0105535157685</t>
  </si>
  <si>
    <t>บริษัท ชดา อินสทูรเม้นท์ จำกัด</t>
  </si>
  <si>
    <t>จ้างเหมาบำรุงรักษาและสอบเทียบเครื่องวัดการระเหยแอลกฮอล์ จำนวน 3 เครื่อง</t>
  </si>
  <si>
    <t>210264พ/วศ.14</t>
  </si>
  <si>
    <t>0105536141332</t>
  </si>
  <si>
    <t>จ้างเหมาสอบเทียบ LOAD CELL ถึงผสมสารปรุง จำนวน 38 ถัง</t>
  </si>
  <si>
    <t>210264พ/วศ.13</t>
  </si>
  <si>
    <t>จ้างเหมาสอบเทียบ FIOW METER ห้องสารปรุง จำนวน 10 เครื่อง</t>
  </si>
  <si>
    <t>210264พ/วศ.15</t>
  </si>
  <si>
    <t>อะไหล่ Consumable parts สำหรับใช้กับกลุ่มเครื่องจักรด้านใบยา HAUNI จำนวน 2 รายการ</t>
  </si>
  <si>
    <t>210664อ/วศ.15</t>
  </si>
  <si>
    <t>อะไหล่สำหรับใช้กับกลุ่มเครื่องจักรด้านใบยา จำนวน 3 รายการ</t>
  </si>
  <si>
    <t>210664อ/วศ.17</t>
  </si>
  <si>
    <t>0105550034874</t>
  </si>
  <si>
    <t>อะไหล่สำหรับใช้กับกลุ่มเครื่องจักรผลิตบุหรี่ SASIB จำนวน 4 รายการ</t>
  </si>
  <si>
    <t>210664อ/วศ.16</t>
  </si>
  <si>
    <t>อะไหล่สำหรับใช้กับเครื่องบรรจุซอง G.D X -500 จำนวน 11 รายการ</t>
  </si>
  <si>
    <t>210664อ/วศ.18</t>
  </si>
  <si>
    <t>อะไหล่ Consumable parts สำหรับใช้กับกลุ่มเครื่องจักรด้านใบยา GARBUIO จำนวน 3 รายการ</t>
  </si>
  <si>
    <t>210664อ/วศ.19</t>
  </si>
  <si>
    <t xml:space="preserve">อะไหล่สำหรับใช้กับเครื่องดูดฝุ่น CENTRAL DUST COLLECTOR GROUP NO.3 </t>
  </si>
  <si>
    <t>19 กุมภาพันธ์ 2564</t>
  </si>
  <si>
    <t>210664อ/วศ.20</t>
  </si>
  <si>
    <t>210264A106</t>
  </si>
  <si>
    <t>210264A114</t>
  </si>
  <si>
    <t>210264A105</t>
  </si>
  <si>
    <t xml:space="preserve">บริษัท โพรมิเน้นท์ ฟลูอิด คอนโทรลส์ (ประเทศไทย) </t>
  </si>
  <si>
    <t>210264R015</t>
  </si>
  <si>
    <t>1 มีนาคม 2564</t>
  </si>
  <si>
    <t>210264BT027</t>
  </si>
  <si>
    <t>O-RING JAPAN 50 x 2.5 NBR</t>
  </si>
  <si>
    <t>210264PRJ140</t>
  </si>
  <si>
    <t xml:space="preserve">ห้างหุ้นส่วนจำกัด พีแอนด์พี (2011)  </t>
  </si>
  <si>
    <t xml:space="preserve">ว่าจ้างพร้อมอุปกรณ์ในการขึ้นรูปชิ้นงานแกนประคองลูกสูบจับ BOPP FILM ชิ้นส่วนเครื่องห่อสิบซอง </t>
  </si>
  <si>
    <t>210264PRJ141</t>
  </si>
  <si>
    <t>DELTA-P NO.20 และรายการอื่นๆรวม 3 รายการ</t>
  </si>
  <si>
    <t>ว่าจ้างพร้อมอุปกรณ์ในการขึ้นรูป ชิ้นงาน FINISHING PLATE ชิ้นส่วนเครื่อง DELTA-P</t>
  </si>
  <si>
    <t>210264PRJ142</t>
  </si>
  <si>
    <t xml:space="preserve">                                                            </t>
  </si>
  <si>
    <t>ท่อเหล็กอาบสังกะสี ขนาด D.1 1/2"x6เมตร</t>
  </si>
  <si>
    <t>210264RR033</t>
  </si>
  <si>
    <t>ว่าจ้างพร้อมอุปกรณ์ในการซ่อมเปลี่ยนฝ้าเพดานห้อง AIR WASHER 04 ที่อาคาร B02 ยสท.อยุธยา</t>
  </si>
  <si>
    <t>210264RR034</t>
  </si>
  <si>
    <t>สวิทช์สองทาง 3 สาย : M9003 "BTICINO"</t>
  </si>
  <si>
    <t>210264T004</t>
  </si>
  <si>
    <t xml:space="preserve">บริษัท เพอร์เฟ็คท์ เพาเวอร์ไลน์ จำกัด </t>
  </si>
  <si>
    <t xml:space="preserve">"BONFIGLIOLI" WORM GEAR : VF 44 F2 i:20 P63 B5 + MOTOR BN63B : 0.20/015 kW.
</t>
  </si>
  <si>
    <t>2 มีนาคม 2564</t>
  </si>
  <si>
    <t>210264A117</t>
  </si>
  <si>
    <t>2/4P B5+ 230/400V. 50 Hz.IP55 IEC CLF  TORQUE ARM</t>
  </si>
  <si>
    <t>210264BT028</t>
  </si>
  <si>
    <t>0135542003175</t>
  </si>
  <si>
    <t xml:space="preserve">บริษัท ภูสุวรรณ อินเตอร์เทรด จำกัด </t>
  </si>
  <si>
    <t xml:space="preserve">ว่าจ้างพร้อมอุปกรณ์ในการซ่อมเครื่องเชื่อมไฟฟ้าแบบ TIG ยี่ห้อ "PANASONIC"รุ่น </t>
  </si>
  <si>
    <t>210264C011</t>
  </si>
  <si>
    <t>TIG WS300 S/N 100002957</t>
  </si>
  <si>
    <t>LOCTITE NO.510 50ML. FLANGE SEALANT</t>
  </si>
  <si>
    <t>210264PRJ143</t>
  </si>
  <si>
    <t xml:space="preserve"> 210264PRJ144</t>
  </si>
  <si>
    <t>210264R032</t>
  </si>
  <si>
    <t>BEARING NO.6202-2RSH "SKF"</t>
  </si>
  <si>
    <t>3 มีนาคม 2564</t>
  </si>
  <si>
    <t>210264PRJ145</t>
  </si>
  <si>
    <t>0105544037000</t>
  </si>
  <si>
    <t>สารหล่อลื่นประสิทธิภาพสูงกำจัด/ป้องกันสนิม SUPER LUBRICANT  S-15</t>
  </si>
  <si>
    <t>210264PRJ146</t>
  </si>
  <si>
    <t>กำจัด/ป้องกันสนิม SUPER LUBRICANT  S-15</t>
  </si>
  <si>
    <t>PRESSURE REGULATOR MS4-LRB-1/4 D6- A8-AS "FESTO"</t>
  </si>
  <si>
    <t>210264PRJ147</t>
  </si>
  <si>
    <t>0105535067635 </t>
  </si>
  <si>
    <t xml:space="preserve"> บริษัท ทูลเทค แอนด์ เดคคอร์ จำกัด </t>
  </si>
  <si>
    <t>"SYSTEM&amp;CONTROL" FLANGE BODIED VALVE MODEL 7030/015V213200-0</t>
  </si>
  <si>
    <t>210264TRJ054</t>
  </si>
  <si>
    <t xml:space="preserve">CONNECTION :DIN FLANGE [DIN EN 1092-1]
</t>
  </si>
  <si>
    <t>FLAT BELT</t>
  </si>
  <si>
    <t>4 มีนาคม 2564</t>
  </si>
  <si>
    <t>210264A118</t>
  </si>
  <si>
    <t xml:space="preserve">  </t>
  </si>
  <si>
    <t>POLY V-BELT 2PJ346</t>
  </si>
  <si>
    <t>210264A119</t>
  </si>
  <si>
    <t xml:space="preserve">ว่าจ้างพร้อมอุปกรณ์ในการซ่อมชุดกระบอกปรับระดับ และกระบอกมาสเตอร์   </t>
  </si>
  <si>
    <t>210264C012</t>
  </si>
  <si>
    <t>RADIUS GAGES JEAGER TOOL MADE IN</t>
  </si>
  <si>
    <t>210264P012</t>
  </si>
  <si>
    <t>ลวดทองแดงอาบน้ำยา No.20SWG. "HITACHI"</t>
  </si>
  <si>
    <t>210264PRJ148</t>
  </si>
  <si>
    <t xml:space="preserve">ว่าจ้างพร้อมอุปกรณ์ในการซ่อมจอ BOARD DELCOS 3100,LOAD SOLENOID VALVE </t>
  </si>
  <si>
    <t>210264PRJ149</t>
  </si>
  <si>
    <t>และ SOLENOID BLOW DOWN VALVE</t>
  </si>
  <si>
    <t xml:space="preserve">ว่าจ้างพร้อมอุปกรณ์ในการซ่อมรถยก ไฟฟ้ายี่ห้อ HYSTER S/N 208923-000238 </t>
  </si>
  <si>
    <t>210264R033</t>
  </si>
  <si>
    <t>0135559001588</t>
  </si>
  <si>
    <t>บริษัท ทีเคเค เซอร์วิส เอ็นจิเนียริ่ง จำกัด</t>
  </si>
  <si>
    <t>ว่าจ้างพร้อมอุปกรณ์ในการซ่อมเปลี่ยนลูกลอยถังสำรองน้ำดับเพลิง</t>
  </si>
  <si>
    <t>210264RR035</t>
  </si>
  <si>
    <t>ยูเนียนเหล็กอาบสังกะสี ขนาด 1"</t>
  </si>
  <si>
    <t>210264TRJ055</t>
  </si>
  <si>
    <t xml:space="preserve">บริษัท เลพเพิร์ด อินเตอร์เทรด จำกัด  </t>
  </si>
  <si>
    <t xml:space="preserve">"ESBELT" PVC CONVEYOR BELT TYPE CLINA  21 CF (2 PLY,THICKNESS 2.40 MM.) </t>
  </si>
  <si>
    <t>210264TRJ056</t>
  </si>
  <si>
    <t>SIZE W=800 MM.x L=61,000 MM.</t>
  </si>
  <si>
    <t>ตู้เหล็ก รุ่น WCK-0 "TWCK"</t>
  </si>
  <si>
    <t>210264TRJ057</t>
  </si>
  <si>
    <t>ว่าจ้างพร้อมอุปกรณ์ในการขึ้นรูปชิ้นงาน FLAT BAR STEEL</t>
  </si>
  <si>
    <t>5 มีนาคม 2564</t>
  </si>
  <si>
    <t>2102641A021</t>
  </si>
  <si>
    <t>โคมโรงงานสะท้อนเงาขาสปริงเล็ก 2x36Wรุ่น AURA-I พร้อมหลอดนีออนยาว (ขั้วเขียว) LED "PHILIPS"</t>
  </si>
  <si>
    <t>210264T005</t>
  </si>
  <si>
    <t xml:space="preserve">ว่าจ้างพร้อมอุปกรณ์ในการตัดเลเซอร์ขึ้นรูปชิ้นงาน  ขนาดหนา 25 มม.ขนาดเส้นผ่าศูนย์กลางนอก </t>
  </si>
  <si>
    <t>210264PRJ150</t>
  </si>
  <si>
    <t>173 มม.ขนาดเส้นผ่าศูนย์กลางใน 105 มม.วัสดุเป็นเหล็ก เกรด SS400</t>
  </si>
  <si>
    <t>ว่าจ้างพร้อมอุปกรณ์ในการขึ้นรูป ชิ้นงาน ROLLER สายพานพาบุหรี่ ขนาด ความยาวเพลา</t>
  </si>
  <si>
    <t>210264PRJ151</t>
  </si>
  <si>
    <t>100มม. และ 40มม. ของระบบสายพานลำเลียง</t>
  </si>
  <si>
    <t>ว่าจ้างพร้อมอุปกรณ์ในการขึ้นรูปชิ้นงานเพลา ROLLER ชุดป้อนใยก้นกรอง</t>
  </si>
  <si>
    <t>210264PRJ152</t>
  </si>
  <si>
    <t>ชิ้นส่วนเครื่องมวนก้นกรอง AIGER TOS</t>
  </si>
  <si>
    <t>BEARING SKF NU 203 ECP</t>
  </si>
  <si>
    <t>210264PRJ153</t>
  </si>
  <si>
    <t>P/N 227569 JUMPER3/N/PE,AC 400-230V</t>
  </si>
  <si>
    <t xml:space="preserve">210264PRJ154 </t>
  </si>
  <si>
    <t xml:space="preserve">POM WHITE ROD ขนาด D.35MM.x1M </t>
  </si>
  <si>
    <t>10 มีนาคม 2564</t>
  </si>
  <si>
    <t>2102641A022</t>
  </si>
  <si>
    <t xml:space="preserve">KNIFE (มีดตัดกระดาษทิป) </t>
  </si>
  <si>
    <t>210264A121</t>
  </si>
  <si>
    <t xml:space="preserve">LED STREETLIGHT 100W 15,000 LM 6500K "CHIN" MODEL : CH-STHY-100YF12LD-3
</t>
  </si>
  <si>
    <t>210264BT029</t>
  </si>
  <si>
    <t>0905563001409</t>
  </si>
  <si>
    <t xml:space="preserve">บริษัท เจ้าพญา อาร์คิเทคท์ จำกัด </t>
  </si>
  <si>
    <t>ว่าจ้างพร้อมอุปกรณ์ในการทาสีเหลืองสะท้อนแสงขอบเขตบริเวณชานชาลา ของอาคาร</t>
  </si>
  <si>
    <t>210264GT006</t>
  </si>
  <si>
    <t>B04,06,07 เป็นระยะรวม 576 เมตร ที่ยสท.อยุธยา</t>
  </si>
  <si>
    <t xml:space="preserve">บริษัท ซี เอส. เฟล็กซิเบิ้ล แอนด์ ซัพพลาย </t>
  </si>
  <si>
    <t xml:space="preserve">ตะไบเหล็ก 6 นิ้ว (6อัน/ชุด) </t>
  </si>
  <si>
    <t xml:space="preserve">210264P013 </t>
  </si>
  <si>
    <t>เบรคเกอร์ 3P 50-63A 160AF 50KA : LZMN1-A63 "EATON"</t>
  </si>
  <si>
    <t>210264R034</t>
  </si>
  <si>
    <t>น๊อตหมวก M8x1.25 ขอบ12 ชุบเงา</t>
  </si>
  <si>
    <t>210264TRJ058</t>
  </si>
  <si>
    <t>BEARING SKF BS2-2205-2RS/VT143</t>
  </si>
  <si>
    <t>210264TRJ059</t>
  </si>
  <si>
    <t>LEAF SPRING  ขนาด 60x325x5.5MM.</t>
  </si>
  <si>
    <t xml:space="preserve">210264TRJ060 </t>
  </si>
  <si>
    <t xml:space="preserve">บริษัท ริคเคอร์มานน์ (ไทยแลนด์) จำกัด  </t>
  </si>
  <si>
    <t xml:space="preserve">SIMATIC DP, Electronics module for ET 200SP, F-DI 8x24 V DC HF, 15 mm  </t>
  </si>
  <si>
    <t>210264TRJ061</t>
  </si>
  <si>
    <t>RUBBER ANTI VIBRATION  SIZE: OD 100 mm. x ID 40 mm. x T 80 mm.</t>
  </si>
  <si>
    <t>11 มีนาคม 2564</t>
  </si>
  <si>
    <t>210264A120</t>
  </si>
  <si>
    <t>DISTANCE SENSOR "SICK" DL35-B15552</t>
  </si>
  <si>
    <t>210264A122</t>
  </si>
  <si>
    <t>VTIA VALVE BLOCK "FESTO" 16E-DINC- 24DC+GG-E 16P-P-G-TBEB-5B-5J</t>
  </si>
  <si>
    <t>210264A123</t>
  </si>
  <si>
    <t>CUSTOMIZED BRAKING RESISTOR - 50 โอห์ม1500 วัตต์ - GREEN BODY - WIRE TERMINAL</t>
  </si>
  <si>
    <t>210264PRJ155</t>
  </si>
  <si>
    <t>BLOCK INCLUDED</t>
  </si>
  <si>
    <t>3577538-000-01 TA2560 WORM 2DR70-1</t>
  </si>
  <si>
    <t>210264PRJ156</t>
  </si>
  <si>
    <t>"ESBELT" PVC CONVEYOR BELT TYPE CLINA  21 CF SIZE W= 310 mm. x L= 3,000 mm.</t>
  </si>
  <si>
    <t>210264PRJ157</t>
  </si>
  <si>
    <t>พัดลมระบายความร้อน W2E200-HK38-01 EBMPAPST</t>
  </si>
  <si>
    <t>210264PRJ158</t>
  </si>
  <si>
    <t>PHOTOELECTRIC SENSOR SICK : WTB4-3P3161S11 # 1029873</t>
  </si>
  <si>
    <t>210264PRJ159</t>
  </si>
  <si>
    <t>SPARE PART FOR "DANFOSS" INVERTER134H3413 S/N 010524G257 -POWER CARD</t>
  </si>
  <si>
    <t>210264PRJ160</t>
  </si>
  <si>
    <t>75kW 400V -THYRISTOR 1600V 220A  -TERMINAL SPARE/TERMINAL BLOCK</t>
  </si>
  <si>
    <t>0105494000477</t>
  </si>
  <si>
    <t>HABASIT FLAT BELT S-10/15(S-1)DIMENSION : 50 mmW x 6,410 mmL ENDLESS</t>
  </si>
  <si>
    <t>210264PRJ161</t>
  </si>
  <si>
    <t>BELT E8/2 UO/V15 LG GREEN W: 50 MM. x L : 1,210 MM. ENDLESS WITH LATERAL GROOVE</t>
  </si>
  <si>
    <t>210264PRJ162</t>
  </si>
  <si>
    <t>ON TOP FACE</t>
  </si>
  <si>
    <t>แผ่นเหล็กสปริงสีน้ำเงิน ขนาด หนา 0.2มม.x43 มม.x3 เมตร</t>
  </si>
  <si>
    <t>12 มีนาคม 2564</t>
  </si>
  <si>
    <t xml:space="preserve">ว่าจ้างหล่อยางยูริเทน สีแดง  ขนาด 32x16  mm. ความแข็ง 80A เป็นชิ้นส่วนของเครื่อง ALFA
</t>
  </si>
  <si>
    <t>2102641A024</t>
  </si>
  <si>
    <t xml:space="preserve">บริษัท ชูม่า (ประเทศไทย) จำกัด </t>
  </si>
  <si>
    <t>FLANGE BODIED VALVE S&amp;S7030/015V213200--0</t>
  </si>
  <si>
    <t>210264A124</t>
  </si>
  <si>
    <t xml:space="preserve">"KSB" GLOBE VALVE JL1040 DN15/PN16 WITH SPIRAL WOUND GASKET
</t>
  </si>
  <si>
    <t>210264A125</t>
  </si>
  <si>
    <t>ล้อยาง STACKER CRANE ขนาด 8 นิ้ว</t>
  </si>
  <si>
    <t xml:space="preserve">210264A126 </t>
  </si>
  <si>
    <t>CONTACTOR RELAY, 62E, DIN EN 50011, 6 NO + 2 NC, PLUG-IN CONNECTION AC</t>
  </si>
  <si>
    <t>210264PRJ163</t>
  </si>
  <si>
    <t>CIRCUIT BREAKER : NZM6-63/ZM6-63 MOELLER</t>
  </si>
  <si>
    <t xml:space="preserve">210264PRJ163 </t>
  </si>
  <si>
    <t>0143556002174 </t>
  </si>
  <si>
    <t xml:space="preserve">ห้างหุ้นส่วนจำกัด ทีแอล โกร แอดวานซ์ </t>
  </si>
  <si>
    <t>ว่าจ้างพร้อมอุปกรณ์ในการขึ้นรูปชิ้น งาน ADAPTER ต่อท่อ FILTER ใช้กับเครื่อง APHIS 2S No.7</t>
  </si>
  <si>
    <t>210264PRJ165</t>
  </si>
  <si>
    <t>บริษัท ภูสุวรรณ อินเตอร์เทรด จำกัด</t>
  </si>
  <si>
    <t>หน้ากากปรับแสงอัตโนมัติ EWM รุ่น POWERSHIELD 2.5</t>
  </si>
  <si>
    <t>210264RS002</t>
  </si>
  <si>
    <t>แผ่นเหล็กสแตนเลส เกรด SUS304  ขนาด 0.8 มม. x 4 ฟุต x 8 ฟุต</t>
  </si>
  <si>
    <t>15 มีนาคม 2564</t>
  </si>
  <si>
    <t>2102641A025</t>
  </si>
  <si>
    <t xml:space="preserve">บริษัท เบนฟิฟท์ช จำกัด  </t>
  </si>
  <si>
    <t xml:space="preserve">ลวดสปริง BWG # 14 ขนาด D. 2.11 มม. </t>
  </si>
  <si>
    <t>2102641A026</t>
  </si>
  <si>
    <t>SEAMLESS BELT W: 35 mm.x L: 1,035 mm. (ไม่มีรอยต่อ)</t>
  </si>
  <si>
    <t>210264A127</t>
  </si>
  <si>
    <t>0135547009511</t>
  </si>
  <si>
    <t xml:space="preserve">บริษัท ทีดีเอส เทคโนโลยี (ประเทศไทย) จำกัด </t>
  </si>
  <si>
    <t>"BECKHOFF" EL6614 : 4-PORT ETHERNET SWITCH TERMINAL</t>
  </si>
  <si>
    <t xml:space="preserve">210264A128 </t>
  </si>
  <si>
    <t>สายฉีดชำระ HANG</t>
  </si>
  <si>
    <t xml:space="preserve">210264BT030 </t>
  </si>
  <si>
    <t xml:space="preserve">ว่าจ้างพร้อมอุปกรณ์ในการขึ้นรูป ชิ้นงานGASKET แกน FOIL BOBBIN
</t>
  </si>
  <si>
    <t>210264PRJ166</t>
  </si>
  <si>
    <t xml:space="preserve">"ESBELT" PU.CONVEYOR ENDLESS BELT TYPECLINA 12 UF SIZE W=200 MM.xL=4,900 MM.
</t>
  </si>
  <si>
    <t>210264PRJ167</t>
  </si>
  <si>
    <t xml:space="preserve">RUBBER SPONGE สีขาว ขนาด 3/8"x1/4" </t>
  </si>
  <si>
    <t xml:space="preserve"> 210264PRJ168 </t>
  </si>
  <si>
    <t>BELLOW SEAL GLOBE VALVE PN25 DN80 "ARI"</t>
  </si>
  <si>
    <t>210264RR036</t>
  </si>
  <si>
    <t>"ESBELT" PVC. CONVEYOR BELT TYPEU 15/2TS 21 F WH SIZE W: 800 mm. x L: 36,500 mm.</t>
  </si>
  <si>
    <t>16 มีนาคม 2564</t>
  </si>
  <si>
    <t>210264A129</t>
  </si>
  <si>
    <t>บริษัท กู๊ดสไมล์99 จำกัด</t>
  </si>
  <si>
    <t>SUPPORT ROLLER DIA. 60 x 525 mm.</t>
  </si>
  <si>
    <t>210264A130</t>
  </si>
  <si>
    <t>POWER SUPPLY MEAN WELL NDR-240-24 24V10A 240W</t>
  </si>
  <si>
    <t>210264A131</t>
  </si>
  <si>
    <t xml:space="preserve"> บริษัท ยูไนเต็ดเพาเวอร์อีควิปเม้นท์ จำกัด </t>
  </si>
  <si>
    <t>"TYCO" SPRINKLER TYPE UPRIGHT #TY1151 สีแดง ขนาด 1/2"</t>
  </si>
  <si>
    <t>210264GT007</t>
  </si>
  <si>
    <t>SEAL AMD TC 12x24x7 VITON</t>
  </si>
  <si>
    <t>210264PRJ169</t>
  </si>
  <si>
    <t>BEARING SKF 62200-2RS1</t>
  </si>
  <si>
    <t>ลวดเชื่อม MESSER MG 210 ขนาด D. 3.2x350MM</t>
  </si>
  <si>
    <t>210264PRJ171</t>
  </si>
  <si>
    <t>สารทำความเย็น R407C ขนาดบรรจุ 10กก.</t>
  </si>
  <si>
    <t>210264PRJ172</t>
  </si>
  <si>
    <t xml:space="preserve">สายไฟ THW(f) 4 ตร.มม.สีเขียวคาดเหลือง </t>
  </si>
  <si>
    <t>210264PRJ173</t>
  </si>
  <si>
    <t>อลูมิเนียมอัลลอยด์ เกรด 7075 D.2"x1 เมตร</t>
  </si>
  <si>
    <t>210264PRJ174</t>
  </si>
  <si>
    <t xml:space="preserve">ว่าจ้างพร้อมอุปกรณ์ในการขึ้นรูปชิ้น งาน RUBBER HOLDER (UPGRADE) รหัส 130220640   </t>
  </si>
  <si>
    <t>17 มีนาคม 2564</t>
  </si>
  <si>
    <t>2102641A027</t>
  </si>
  <si>
    <t>0105554094898</t>
  </si>
  <si>
    <t>บริษัท เฟมัส อิควิปเม้นท์ จำกัด</t>
  </si>
  <si>
    <t>STRIP BRUSH SIZE: 100x17x82.5 mm.</t>
  </si>
  <si>
    <t>210264A132</t>
  </si>
  <si>
    <t>ROUND BAR L 1,000 mm., BRACKET FOR ROLLER CONVEYOR : ASRS</t>
  </si>
  <si>
    <t>210264A133</t>
  </si>
  <si>
    <t xml:space="preserve">OD31.8 , L 1,000 mm. MATERRIAL: SUS304
</t>
  </si>
  <si>
    <t>0115561001352</t>
  </si>
  <si>
    <t>บริษัท เอสพีเอ็น18 เอ็นจิเนียริ่ง จำกัด</t>
  </si>
  <si>
    <t xml:space="preserve">ว่าจ้างพร้อมอุปกรณ์ในการซ่อมเปลี่ยนท่อเมนน้ำประปา (HDPE) ขนาด 8"แตกชำรุดภายใน TRENCH 
</t>
  </si>
  <si>
    <t>210264BT031</t>
  </si>
  <si>
    <t xml:space="preserve">"HITACHI"SINGLE PHASE INDUCTION MOTOR SPLIT-PHASE-START TYPE EFOU-KT
</t>
  </si>
  <si>
    <t>210264D009</t>
  </si>
  <si>
    <t xml:space="preserve">"HABASIT" FLAT BELT S-10/15(S-1) DIMENSION : 80 mmW x 2,140 mmL ENDLESS
</t>
  </si>
  <si>
    <t>210264PRJ175</t>
  </si>
  <si>
    <t xml:space="preserve">ว่าจ้างพร้อมอุปกรณ์ในการซ่อม BOARD DELCOS 3100 และ MLS CARTRIDGE SPARE
</t>
  </si>
  <si>
    <t>210264PRJ176</t>
  </si>
  <si>
    <t xml:space="preserve">ว่าจ้างพร้อมอุปกรณ์ในการขึ้นรูปชิ้นงานยางกันกระแทกชุดหมุนคว่ำราง
</t>
  </si>
  <si>
    <t>210264PRJ177</t>
  </si>
  <si>
    <t>ชิ้นส่วนเครื่อง MAGOMAT-80 No.10</t>
  </si>
  <si>
    <t>ลวดสปริง BWG # 18 ขนาด D. 1.24 มม.</t>
  </si>
  <si>
    <t>210264PRJ178</t>
  </si>
  <si>
    <t>ว่าจ้างพร้อมอุปกรณ์ในการขึ้นรูป ชิ้นงาน ROUND BAR GUIDE WAY</t>
  </si>
  <si>
    <t xml:space="preserve"> 210264TRJ062</t>
  </si>
  <si>
    <t>ชิ้นส่วนเครื่อง ROLLER CONVEYOR</t>
  </si>
  <si>
    <t xml:space="preserve">SIMATIC IPC677D PANEL 19" TOUCH  USB IPC677D DC 24V INDUSTRIAL </t>
  </si>
  <si>
    <t>18 มีนาคม 2564</t>
  </si>
  <si>
    <t>210264A134</t>
  </si>
  <si>
    <t>210264A135</t>
  </si>
  <si>
    <t>0145545000461</t>
  </si>
  <si>
    <t>บริษัท นานาภัณฑ์ วัสดุอุตสาหกรรม จำกัด</t>
  </si>
  <si>
    <t xml:space="preserve">HOSE TOYOSPRING TS-45 SIZE 1-3/4" ID 45 mm.
</t>
  </si>
  <si>
    <t>210264A136</t>
  </si>
  <si>
    <t>REGULATOR PT 1/4" With Gauge Model : R72G-2AK-RFG "NORGREN"</t>
  </si>
  <si>
    <t>22 มีนาคม 2564</t>
  </si>
  <si>
    <t>210264GT008</t>
  </si>
  <si>
    <t>210264PRJ179</t>
  </si>
  <si>
    <t>BEARING SKF 6203-2Z</t>
  </si>
  <si>
    <t>210264PRJ180</t>
  </si>
  <si>
    <t>6686508-00-00 EN5710 INDUCTIVE PROXIMITY SWITCH</t>
  </si>
  <si>
    <t>210264PRJ181</t>
  </si>
  <si>
    <t xml:space="preserve">OIL SEAL (VITON) DIMENSION ID 10.5 x OD 14.0 x THK 2.3 mm.
</t>
  </si>
  <si>
    <t>210264PRJ187</t>
  </si>
  <si>
    <t>"WHITCO" น้ำยาผสมสี AAA 11.5 ลิตร</t>
  </si>
  <si>
    <t>210264PRJ188</t>
  </si>
  <si>
    <t>BEARING NO.6314-2Z/C3 "SKF"</t>
  </si>
  <si>
    <t>210264PRJ189</t>
  </si>
  <si>
    <t>END COVER 37x7</t>
  </si>
  <si>
    <t>210264PRJ190</t>
  </si>
  <si>
    <t xml:space="preserve">BURKERT SOLENOID VALVE 2/2,1/2" COIL 230/50 COMPLETED WITH TIMER TYPE 6281
</t>
  </si>
  <si>
    <t>210264RR038</t>
  </si>
  <si>
    <t xml:space="preserve">"REGIN" HVAC CONTROLS SYSTEM DDC CONTROLLER -EXOCOMPACT C 282D-3 4AI,
</t>
  </si>
  <si>
    <t>210264RR039</t>
  </si>
  <si>
    <t>8DI, 4UI, 5AO, 7DO WITH LCD DISPLAY</t>
  </si>
  <si>
    <t>ว่าจ้างพร้อมอุปกรณ์ในการซ่อมท่อบริเวณเหนืออุปกรณ์ SEPARATOR ที่อาคาร B02 ยสท.อยุธยา</t>
  </si>
  <si>
    <t>210264RR040</t>
  </si>
  <si>
    <t xml:space="preserve">ว่าจ้างพร้อมอุปกรณ์ในการซ่อมเปลี่ยนสลักคานหลัง ของรถยกไฟฟ้า JUNGHEINRICH และ </t>
  </si>
  <si>
    <t>210264TRJ063</t>
  </si>
  <si>
    <t>ว่าจ้างพร้อมอุปกรณ์ในการซ่อมเปลี่ยน BEARING SENSOR MOTOR HYD ของรถยกไฟฟ้า</t>
  </si>
  <si>
    <t>เพลาเหล็กหล่อ เกรด FC20 ขนาด D.90x300 mm.</t>
  </si>
  <si>
    <t>23 มีนาคม 2564</t>
  </si>
  <si>
    <t>210264PRJ182</t>
  </si>
  <si>
    <t>DVC-2M SHOCK ABSORBER ACE</t>
  </si>
  <si>
    <t>210264PRJ183</t>
  </si>
  <si>
    <t xml:space="preserve">SIMATIC PC, spare part;  Power supply, Industrial; 100-240 VAC/150 W, Rev. K8;
</t>
  </si>
  <si>
    <t>210264PRJ184</t>
  </si>
  <si>
    <t xml:space="preserve">CV4, CV5, IPC627B/C, IPC827B/C, HMIIPC677B/C; HMI IPC577C P/N A5E31006890
</t>
  </si>
  <si>
    <t>O-RING AMD CORD ขนาด 6x20 เมตร</t>
  </si>
  <si>
    <t>210264PRJ185</t>
  </si>
  <si>
    <t>"ESBELT" PVC. CONVEYOR ENDLESS JOINT TYPE CLINA 10 FF SIZE W 168 mm. x L</t>
  </si>
  <si>
    <t xml:space="preserve"> 210264PRJ186</t>
  </si>
  <si>
    <t>2,242 mm. และรายการอื่นๆรวม 2 รายการ</t>
  </si>
  <si>
    <t>ว่าจ้างพร้อมอุปกรณ์ในการขึ้นรูป ชิ้นงาน FORK รหัส 130208389 ชิ้นส่วนเครื่องบรรจุซอง ALFA</t>
  </si>
  <si>
    <t>24 มีนาคม 2564</t>
  </si>
  <si>
    <t>2102641A028</t>
  </si>
  <si>
    <t>0105550009608 </t>
  </si>
  <si>
    <t>บริษัท บีเคพี พาส จำกัด</t>
  </si>
  <si>
    <t>"ITOH DENKI" POWER MOLLER MODEL: PM500FE-60-392-D-024-JG-C150</t>
  </si>
  <si>
    <t>210264A137</t>
  </si>
  <si>
    <t>0105553091143</t>
  </si>
  <si>
    <t>บริษัท เอส.เอ็ม.วีล โปรดักส์ จำกัด</t>
  </si>
  <si>
    <t>ล้อยูรีเทน 8" ขนาด H200/43(พร้อมลูกปืน)</t>
  </si>
  <si>
    <t>210264A138</t>
  </si>
  <si>
    <t>ท่อ IMC ขนาด 2"</t>
  </si>
  <si>
    <t>210264R036</t>
  </si>
  <si>
    <t>0105544064368</t>
  </si>
  <si>
    <t>บริษัท คิวเทค เทคโนโลยี จำกัด</t>
  </si>
  <si>
    <t>HDPE/PVC HOSE PROTECTION, COLOR BLACK, WRAPPING RANGE 44-65 mm</t>
  </si>
  <si>
    <t>25 มีนาคม 2564</t>
  </si>
  <si>
    <t>210264A139</t>
  </si>
  <si>
    <t>LEGNTH 20 METER</t>
  </si>
  <si>
    <t>ENCODER "HENGSTLER" MODEL :AC58/0012ES41SGH (P/N : 0565064)</t>
  </si>
  <si>
    <t>210264A140</t>
  </si>
  <si>
    <t>หินเจียรสีเทา 8" หนา 3/4" รู 5/8" No.60 ยี่ห้อ KEIBA</t>
  </si>
  <si>
    <t>210264P014</t>
  </si>
  <si>
    <t>ล้อยาง 6" ขาเป็น R500</t>
  </si>
  <si>
    <t>210264P015</t>
  </si>
  <si>
    <t>ว่าจ้างพร้อมอุปกรณ์ในการขึ้นรูปชิ้นงาน SCREW ชิ้นส่วนเครื่อง TAURUS</t>
  </si>
  <si>
    <t>210264PRJ191</t>
  </si>
  <si>
    <t>No.12 ยสท.อยุธยา</t>
  </si>
  <si>
    <t>ว่าจ้างพร้อมอุปกรณ์ในการซ่อมรถยก ไฟฟ้า JUNGHEINRICH EJE120G115</t>
  </si>
  <si>
    <t>210264R038</t>
  </si>
  <si>
    <t>ห้างหุ้นส่วนจำกัด พศิน เอ็นจิเนียริ่ง แอนด์ เซอร์วิส</t>
  </si>
  <si>
    <t>ค่าแรงในการติดตั้งเครื่องปรับอากาศ ยี่ห้อ Carrier รุ่น R-32 380V 3PH</t>
  </si>
  <si>
    <t>26 มีนาคม 2564</t>
  </si>
  <si>
    <t>210264พ/วศ.21</t>
  </si>
  <si>
    <t>0195557001599</t>
  </si>
  <si>
    <t>บริษัท ช. เอื้อศิริ เทคโนโลยี จำกัด</t>
  </si>
  <si>
    <t>FREE ROLLER CONVEYOR Dia. 60x930 mm. - POM FLAT WHEEL SUPPORT OD90-ID60</t>
  </si>
  <si>
    <t>30 มีนาคม 2564</t>
  </si>
  <si>
    <t>210264A141</t>
  </si>
  <si>
    <t xml:space="preserve">ASCON TECNOLOGIC MODEL : C1-5000-0000   </t>
  </si>
  <si>
    <t>210264A142</t>
  </si>
  <si>
    <t xml:space="preserve"> บริษัท เค เทรด เอ็นจิเนียริ่ง จำกัด </t>
  </si>
  <si>
    <t>แหวน SAFETY LOCK M5 SUS</t>
  </si>
  <si>
    <t>210264PRJ192</t>
  </si>
  <si>
    <t>0105555135806</t>
  </si>
  <si>
    <t>บริษัท เอสซีเอ็ม อลีอันซ์ จำกัด</t>
  </si>
  <si>
    <t>CONNECTING CABLE WITH SOCKET EVC007 P/NADOAH043MSS0002H04 L=2M. M12</t>
  </si>
  <si>
    <t>210264PRJ193</t>
  </si>
  <si>
    <t>CONNECTOR "IFM"</t>
  </si>
  <si>
    <t>สายลมไนล่อน 12 มม. (100เมตร) "API"MODEL : TN12x10NT</t>
  </si>
  <si>
    <t>210264R035</t>
  </si>
  <si>
    <t>BRASS CHECK VALVE TYPE SWING (KIST)SIZE : 2" CONNECTION : SCREWED</t>
  </si>
  <si>
    <t>210264TRJ065</t>
  </si>
  <si>
    <t xml:space="preserve"> BALL BEARING SKF 6001-2Z/C3             </t>
  </si>
  <si>
    <t>31 มีนาคม 2564</t>
  </si>
  <si>
    <t>210264A143</t>
  </si>
  <si>
    <t>CONVEYOR BAND TYPE SILON 25 HC SIZE W:844 mm. x L: 1,185 mm. (OVER LAP JOINT)</t>
  </si>
  <si>
    <t xml:space="preserve">210264A144 </t>
  </si>
  <si>
    <t xml:space="preserve">บริษัท บีแทค อินดัสเตรียล ออโตเมชั่น จำกัด </t>
  </si>
  <si>
    <t>AIR CYLINDER BORE 32 mm. STROKE 80 mm.MODEL : SPG/99075/80</t>
  </si>
  <si>
    <t>210264A145</t>
  </si>
  <si>
    <t xml:space="preserve">"BECKHOFF" EL1809 : 16-CH. DIGITALINPUT TERMINAL 24 V DC, FILTER 3.0 ms,
</t>
  </si>
  <si>
    <t>210264A146</t>
  </si>
  <si>
    <t xml:space="preserve">บริษัท 168 อินเตอร์เนชั่นแนลเทรด จำกัด </t>
  </si>
  <si>
    <t>NARROW V-BELT XPZ1320LW</t>
  </si>
  <si>
    <t>210264A147</t>
  </si>
  <si>
    <t xml:space="preserve">BEARING NO.61828-2RS1 "SKF" </t>
  </si>
  <si>
    <t>210264PRJ194</t>
  </si>
  <si>
    <t>DISPLAY ROTARY SPEED 2049643-000-00</t>
  </si>
  <si>
    <t>210264PRJ195</t>
  </si>
  <si>
    <t>"ESBELT" PVC.CONVEYOR ENDLESS JOINTTYPE CLINA 07 CF SIZE W=388 mm. x</t>
  </si>
  <si>
    <t>210264PRJ196</t>
  </si>
  <si>
    <t xml:space="preserve"> L=3,422 mm.</t>
  </si>
  <si>
    <t>CLEVIS FOOT LBN-20/25</t>
  </si>
  <si>
    <t>210264PRJ197</t>
  </si>
  <si>
    <t>0105531012682</t>
  </si>
  <si>
    <t>บริษัท ดีเอสแอล เอเชีย-แปซิฟิก จำกัด</t>
  </si>
  <si>
    <t xml:space="preserve">Traction battery ขนาด 48V.625 AH/5HR ยี่ห้อ QUIPP รุ่น 11DIN625 ใช้กับรถยก ยี่ห้อ HYSTER รุ่น </t>
  </si>
  <si>
    <t>210264พ/วศ.17</t>
  </si>
  <si>
    <t>J200 EX</t>
  </si>
  <si>
    <t>อะไหล่ CONSUMABLE PARTS สำหรับใช้กับกลุ่มเครื่องจักรผลิตบุหรี่ G.D จำนวน 9 รายการ</t>
  </si>
  <si>
    <t>210664อ/วศ.21</t>
  </si>
  <si>
    <t>'0105557123309</t>
  </si>
  <si>
    <t>งานจ้างเหมาปรับปรุงระบบไฟฟ้าสำรองห้อง SERVER พร้อมอุปกรณ์และค่าติดตั้ง</t>
  </si>
  <si>
    <t>210264พ/วศ.16</t>
  </si>
  <si>
    <t>0125547008841</t>
  </si>
  <si>
    <t>บริษัท บางกอกยูเนี่ยนสตีล จำกัด</t>
  </si>
  <si>
    <t>พัดลมระบายควัน สำหรับดับเพลิงและกู้ภัย พร้อมอุปกรณ์ ยี่ห้อ LEADER รุ่น MT 236 NEO</t>
  </si>
  <si>
    <t>210264พ/วศ.18</t>
  </si>
  <si>
    <t>0105553010585</t>
  </si>
  <si>
    <t>บริษัท เอส ที อี จำกัด</t>
  </si>
  <si>
    <t>งานจ้างเหมาพร้อมอุปกรณ์จัดทำราวกั้น บริเวณชานชาลาของอาคาร B-04,อาคาร B-07</t>
  </si>
  <si>
    <t>210264พ/วศ.19</t>
  </si>
  <si>
    <t>อะไหล่สำหรับใช้กับกลุ่มเครื่องจักรผลิตบุหรี่ SASIB จำนวน 8 รายการ</t>
  </si>
  <si>
    <t>210664อ/วศ.22</t>
  </si>
  <si>
    <t>อะไหล่ CONSUMABLE PARTS สำหรับใช้กับกลุ่มเครื่องจักรผลิตบุหรี่ SASIB จำนวน 10 รายการ</t>
  </si>
  <si>
    <t>210664อ/วศ.23</t>
  </si>
  <si>
    <t>บริษัท 168 อินเตอร์เทรด จำกัด</t>
  </si>
  <si>
    <t xml:space="preserve">อะไหล่ CONSUMABLE PARTS สายพานยาดี ยาเสีย สำหรับใช้กับเครื่องบรรจุซอง ALFA </t>
  </si>
  <si>
    <t>210664อ/วศ.24</t>
  </si>
  <si>
    <t>จำนวน 2 รายการ</t>
  </si>
  <si>
    <t xml:space="preserve">0105555128711 </t>
  </si>
  <si>
    <t>บริษัท เทพวงศ์ อินเตอร์เทรด จำกัด</t>
  </si>
  <si>
    <t>อะไหล่สำหรับใช้กับกลุ่มเครื่องจักรผลิตบุหรี่ AIGER จำนวน 11 รายการ</t>
  </si>
  <si>
    <t>210664อ/วศ.25</t>
  </si>
  <si>
    <t>บริษัท พี.ประชุม</t>
  </si>
  <si>
    <t xml:space="preserve">อะไหล่ CONSUMABLE PARTS  ใบมีด ยี่ห้อ ARKOTE สำหรับใช้กับกลุ่มเครื่องจักรผลิตบุหรี่ </t>
  </si>
  <si>
    <t>9 มีนาคม 2564</t>
  </si>
  <si>
    <t>210664อ/วศ.26</t>
  </si>
  <si>
    <t>จำนวน 6 รายการ</t>
  </si>
  <si>
    <t>บริษัท ทอมโก้ ออโตเมติก แมชชีนเนอร์รี่ จำกัด</t>
  </si>
  <si>
    <t>อะไหล่เครื่องยิงวันที่ VIDEOJET สำหรับใช้กับเครื่องบรรจุซอง ALFA-RAM จำนวน 2 รายการ</t>
  </si>
  <si>
    <t>210664อ/วศ.27</t>
  </si>
  <si>
    <t>อะไหล่สำหรับใช้กับกลุ่มเครื่องจักรผลิตบุหรี่ HAUNI จำนวน 27 รายการ</t>
  </si>
  <si>
    <t>210664อ/วศ.28</t>
  </si>
  <si>
    <t>0115563020320</t>
  </si>
  <si>
    <t>บริษัท เอ ทีม เอ็นจิเนียริ่ง แอนด์ เซอร์วิส จำกัด</t>
  </si>
  <si>
    <t>จ้างเหมาปรับปรุงระบบไฟฟ้า ห้อง SERVER ระบบ AS/RS พร้อมอุปกรณ์และค่าติดตั้งและ</t>
  </si>
  <si>
    <t>210264พ/วศ.20</t>
  </si>
  <si>
    <t>จ้างเหมาระบบไฟฟ้าห้อง SERVER ด้านฝั่งฝ่ายผลิตใบยา พร้อมอุปกรณ์และค่าติดตั้ง</t>
  </si>
  <si>
    <t>0107536000218</t>
  </si>
  <si>
    <t>บริษัท ล็อกซเลย์ จำกัด (มหาชน)</t>
  </si>
  <si>
    <t>อะไหล่เครื่องพิมพ์ระบบ GRAVURE 8 สี (BOBST) จำนวน 17 รายการ</t>
  </si>
  <si>
    <t>210664อ/วศ.30</t>
  </si>
  <si>
    <t>2102641A023</t>
  </si>
  <si>
    <t>งานซื้อตู้ควบคุมปั๊มน้ำ พร้อมอุปกรณ์และค่าติดตั้ง</t>
  </si>
  <si>
    <t xml:space="preserve">บริษัท อ๊อซซาโก้ จำกัด </t>
  </si>
  <si>
    <t>ANELLO PER ELASTOMERO GIUNTO SF3</t>
  </si>
  <si>
    <t>1 เมษายน 2564</t>
  </si>
  <si>
    <t>210264A148</t>
  </si>
  <si>
    <t xml:space="preserve">ว่าจ้างพร้อมอุปกรณ์ในการซ่อมเปลี่ยนชุด POST INDICATOR GATE VALVE </t>
  </si>
  <si>
    <t>210264BT032</t>
  </si>
  <si>
    <t xml:space="preserve">ว่าจ้างพร้อมอุปกรณ์ในการขึ้นรูป ชิ้นงานSTOPPER ชิ้นส่วนเครื่อง THETA NO.1
</t>
  </si>
  <si>
    <t>210264PRJ198</t>
  </si>
  <si>
    <t xml:space="preserve">SEAL 62x73x8 </t>
  </si>
  <si>
    <t>210264PRJ199</t>
  </si>
  <si>
    <t>ว่าจ้างพร้อมอุปกรณ์ในการซ่อมเปลี่ยนเบรคเกอร์ ของตู้ชาร์จแบตเตอรี่รถยกไฟฟ้า</t>
  </si>
  <si>
    <t>210264R037</t>
  </si>
  <si>
    <t>COUPLING DRIVER (LS20-125HH)</t>
  </si>
  <si>
    <t>210264RR037</t>
  </si>
  <si>
    <t xml:space="preserve">BURKERT SOLENOID VALVE 2/2,1/2" COIL230/50 COMPLETED WITH TIMER TYPE 6281
</t>
  </si>
  <si>
    <t>OILES 30M NO.300 DIA.21x200MM.</t>
  </si>
  <si>
    <t>210264TRJ066</t>
  </si>
  <si>
    <t>NOTCHER (CUTTER) (U-KNIFE)</t>
  </si>
  <si>
    <t>2 เมษายน 2564</t>
  </si>
  <si>
    <t>210264A149</t>
  </si>
  <si>
    <t>GUIDE</t>
  </si>
  <si>
    <t>210264A150</t>
  </si>
  <si>
    <t>ก๊อกสนามแบบสวมสายยาง ขนาด 1/2" "SANWA"</t>
  </si>
  <si>
    <t>210264BT033</t>
  </si>
  <si>
    <t xml:space="preserve">       </t>
  </si>
  <si>
    <t>ว่าจ้างพร้อมอุปกรณ์ในการซ่อมเปลี่ยนท่อ HDPE ขนาด D.90 มม.</t>
  </si>
  <si>
    <t>210264BT034</t>
  </si>
  <si>
    <t>ว่าจ้างพร้อมอุปกรณ์ในการทำ SEAL BUTTERFLY VALVE ขนาด 150 x 10 มม.</t>
  </si>
  <si>
    <t>210264PRJ200</t>
  </si>
  <si>
    <t>0135561026941</t>
  </si>
  <si>
    <t xml:space="preserve">บริษัท เอส.เค.เอส ดีไซน์ แอนด์ โปรดักชั่นเอ็นจิเนียริ่ง </t>
  </si>
  <si>
    <t>BOTTOM KNIFE BAR MATERIAL: SKD11 55-58</t>
  </si>
  <si>
    <t>7 เมษายน 2564</t>
  </si>
  <si>
    <t>210264A151</t>
  </si>
  <si>
    <t>PHOTOELECTRIC SENSORS "SICK" WTB12-3P2441</t>
  </si>
  <si>
    <t>210264A152</t>
  </si>
  <si>
    <t>0145562005360</t>
  </si>
  <si>
    <t xml:space="preserve">บริษัท เอส เอ็ม วาย คอร์ปอเรชั่น กรุ๊ป จำกัด </t>
  </si>
  <si>
    <t>HYD.HOSE U2T 04 L0.55 m.</t>
  </si>
  <si>
    <t>210264A153</t>
  </si>
  <si>
    <t>BALL BEARING SKF 6209-2Z</t>
  </si>
  <si>
    <t>210264A154</t>
  </si>
  <si>
    <t>BEARING INA GE 6 DO</t>
  </si>
  <si>
    <t>210264PRJ201</t>
  </si>
  <si>
    <t>สายพาน V-BELT XPZ1362"CARLISLE"</t>
  </si>
  <si>
    <t>210264PRJ202</t>
  </si>
  <si>
    <t>SPIRAL WOUND GASKET PN16 SIZE 1" (DN25)</t>
  </si>
  <si>
    <t>210264TRJ067</t>
  </si>
  <si>
    <t>ULTRA BUSHING</t>
  </si>
  <si>
    <t>9 เมษายน 2564</t>
  </si>
  <si>
    <t>210264A155</t>
  </si>
  <si>
    <t xml:space="preserve">ESBELT PVC. CONVEYOR BELT TYPE CLINA 21 CF SIZE W: 800 mm. x L: 9,000 mm.
</t>
  </si>
  <si>
    <t>210264A156</t>
  </si>
  <si>
    <t>PU TIMING BELT 50T10-2,220 (74 HALVE -ROUND)</t>
  </si>
  <si>
    <t>210264A157</t>
  </si>
  <si>
    <t>BONFIGLIOLI WORM GEAR VF 44 F2 i:10 P63 B5 + MOTOR BN63B : 0.20/0.15 kW. 2/4P</t>
  </si>
  <si>
    <t>210264A158</t>
  </si>
  <si>
    <t>B5+ 230/400V. 50Hz.IP55 IEC CLF TORQUE ARM</t>
  </si>
  <si>
    <t>NYLON WHITE SHEET ขนาด 15 mm.x120 mm.x1000 mm.</t>
  </si>
  <si>
    <t>210264PRJ203</t>
  </si>
  <si>
    <t xml:space="preserve">ว่าจ้างพร้อมอุปกรณ์ในการทำชิ้นงานROLLER เนื้อวัสดุเป็นอลูมิเนียมอัลลอยด์ 6061 พร้อมหล่อยางยูริเทน สีส้ม ขนาด
</t>
  </si>
  <si>
    <t>210264PRJ204</t>
  </si>
  <si>
    <t>250x220x240 mm.และรายการอื่นๆรวม 2 รายการ</t>
  </si>
  <si>
    <t xml:space="preserve">ETHERCAT COUPLER FOR E-BUS TERMINALS (ELXXXX) MODEL EK1100 "BECKHOFF"
    </t>
  </si>
  <si>
    <t xml:space="preserve">210264PRJ205 </t>
  </si>
  <si>
    <t>UMBILICAL,SU&lt;-&gt;LH,TYPE A,5 M (5AL-SP68518)</t>
  </si>
  <si>
    <t xml:space="preserve"> 210264PRJ206 </t>
  </si>
  <si>
    <t>สีสเปรย์ NO.60 สีงาช้าง (IVORY) ขนาดบรรจุ 400CC. "TOA"</t>
  </si>
  <si>
    <t>210264PRJ207</t>
  </si>
  <si>
    <t>ว่าจ้างพร้อมอุปกรณ์ในการทำชิ้นงานลูกกลิ้งอลูมิเนียม เกรด 7075 ชิ้นส่วนเครื่อง ALFA RAM NO.12</t>
  </si>
  <si>
    <t>19 เมษายน 2564</t>
  </si>
  <si>
    <t>210264PRJ208</t>
  </si>
  <si>
    <t xml:space="preserve">ว่าจ้างพร้อมอุปกรณ์ในการทำแกนลูกกลิ้งพร้อมหล่อยาง ขนาด 104 x 74 x 310 mm. NBR RUBBER  </t>
  </si>
  <si>
    <t>210264PRJ209</t>
  </si>
  <si>
    <t xml:space="preserve">ความแข็ง 65-70 SHORE A ชิ้นส่วนเครื่อง MAX 70 No.12
</t>
  </si>
  <si>
    <t xml:space="preserve">ว่าจ้างพร้อมอุปกรณ์ในการขึ้นรูป ชิ้นงาน ROLLER ชุด SWASH PLATE ชิ้นส่วนเครื่องมวนบุหรี่ </t>
  </si>
  <si>
    <t>210264PRJ210</t>
  </si>
  <si>
    <t>PROTOS MAX 90 NO.19</t>
  </si>
  <si>
    <t>BUSHING PTFE ขนาด ID 8 xOD 10 xL15</t>
  </si>
  <si>
    <t xml:space="preserve"> 210264PRJ211</t>
  </si>
  <si>
    <t>BEARING SKF GE 6 E</t>
  </si>
  <si>
    <t>210264PRJ212</t>
  </si>
  <si>
    <t xml:space="preserve">ว่าจ้างพร้อมอุปกรณ์ในการขึ้นรูปชิ้นงานสายรัดหม้อหมุน ชิ้นส่วนเครื่อง FLAVOURING CYLINDER (129.00/1)
</t>
  </si>
  <si>
    <t>210264TRJ068</t>
  </si>
  <si>
    <t>ARGON GAS-IND GRADE (PURITY 99.99%) ขนาดบรรจุถังละ 7 ลูกบาศก์เมตร</t>
  </si>
  <si>
    <t>210264TRJ069</t>
  </si>
  <si>
    <t>คิ้วทองเหลือง ขนาด 770x25x0.6 mm. MAT :BRASS</t>
  </si>
  <si>
    <t>210264TRJ070</t>
  </si>
  <si>
    <t>ว่าจ้างพร้อมอุปกรณ์ในการขึ้นรูปชิ้นงาน FINISHING PLATE ชิ้นส่วนเครื่อง KT2-S160 (315.01)</t>
  </si>
  <si>
    <t>20 เมษายน 2564</t>
  </si>
  <si>
    <t>210264TRJ071</t>
  </si>
  <si>
    <t xml:space="preserve">COPPER AND ALUMINIUM TAPPING OIL  ขนาดบรรจุ 500 ml."C.S.Tool"   </t>
  </si>
  <si>
    <t>2102641A029</t>
  </si>
  <si>
    <t>0105543106610 </t>
  </si>
  <si>
    <t>GARNITURE TAPE 17x3400 mm. (format D=7.1)</t>
  </si>
  <si>
    <t>210264A159</t>
  </si>
  <si>
    <t>0105541050170 </t>
  </si>
  <si>
    <t>REED SWITCH WITH CONNECTION CABLE MODEL : QM/34/P</t>
  </si>
  <si>
    <t>210264A160</t>
  </si>
  <si>
    <t xml:space="preserve">"BECKHOFF" EK1100 : ETHERCAT COUPLERFOR E-BUS TERMINALS (ELxxxx)
</t>
  </si>
  <si>
    <t>210264A161</t>
  </si>
  <si>
    <t>LEAF SPRING</t>
  </si>
  <si>
    <t>21 เมษายน 2564</t>
  </si>
  <si>
    <t>210264A162</t>
  </si>
  <si>
    <t>POWERTWIST MOVE V-BELT (B) Size : 121 x 17 x 82.5 mm.</t>
  </si>
  <si>
    <t>22 เมษายน 2564</t>
  </si>
  <si>
    <t>210264A163</t>
  </si>
  <si>
    <t>0115544007577</t>
  </si>
  <si>
    <t>BEARING UNIT SETS UCF209-UBC</t>
  </si>
  <si>
    <t>210264A164</t>
  </si>
  <si>
    <t>LOCTITE NO.271 ขนาด 50 ml.</t>
  </si>
  <si>
    <t>210264TRJ072</t>
  </si>
  <si>
    <t xml:space="preserve">CUSTOMIZED BRAKING RESISTOR 50 โอห์ม 1500 W - GREEN BODY - WIRE TERMINAL   </t>
  </si>
  <si>
    <t>23 เมษายน 2564</t>
  </si>
  <si>
    <t>210264PRJ213</t>
  </si>
  <si>
    <t>LPA 53 MM. PRINT ROLLER ASSEMBLY (5W406997)</t>
  </si>
  <si>
    <t>210264PRJ214</t>
  </si>
  <si>
    <t>TIMING BELT MAT : PU. WHITE WITH STEEL CORD (TRULY ENDLESS) TYPE 50T20-2600</t>
  </si>
  <si>
    <t>210264PRJ215</t>
  </si>
  <si>
    <t>"ESBELT" PU.CONVEYOR ENDLESS BELT TYPE  CLINA 12 UF SIZE W= 200 MM.</t>
  </si>
  <si>
    <t>210264PRJ216</t>
  </si>
  <si>
    <t>x L= 4,900 MM.</t>
  </si>
  <si>
    <t>LOCTITE NO.515 50ML</t>
  </si>
  <si>
    <t>210264PRJ217</t>
  </si>
  <si>
    <t xml:space="preserve">BEARING NO.6308-2RS1/C3 "SKF" </t>
  </si>
  <si>
    <t>210264PRJ218</t>
  </si>
  <si>
    <t>BELLOW COVER ยางกันฝุ่น</t>
  </si>
  <si>
    <t>210264PRJ219</t>
  </si>
  <si>
    <t>HOSE ,BLUE SERIES ,5/16 x 24 FT, 240V,AUTO</t>
  </si>
  <si>
    <t>210264PRJ220</t>
  </si>
  <si>
    <t>SILICONE L6301 ขนาด 330 ml. "DEXERIALS"</t>
  </si>
  <si>
    <t>210264TRJ073</t>
  </si>
  <si>
    <t>EXCHANGE GROUP FOR PVC PUMP 6:1-2:1</t>
  </si>
  <si>
    <t>26 เมษายน 2564</t>
  </si>
  <si>
    <t>210264A165</t>
  </si>
  <si>
    <t xml:space="preserve">0135562010746 </t>
  </si>
  <si>
    <t>PLASTIC SPROCKET RS40-2x14T+HOUSING RS50</t>
  </si>
  <si>
    <t>210264A166</t>
  </si>
  <si>
    <t xml:space="preserve">   </t>
  </si>
  <si>
    <t>ว่าจ้างพร้อมอุปกรณ์ในการขึ้นรูปชิ้นงาน LEAF SPRING รหัส 130222946 ชิ้นส่วนเครื่อง DELTA-W</t>
  </si>
  <si>
    <t>27 เมษายน 2564</t>
  </si>
  <si>
    <t>2102641A030</t>
  </si>
  <si>
    <t>0105543109856</t>
  </si>
  <si>
    <t>บริษัท แซมซั่น คอนโทรลส์ จำกัด</t>
  </si>
  <si>
    <t>"SAMSON" TYPE 3351 ON-OFF VALVE DN25PN16 CAST IRON EN-JL 1040</t>
  </si>
  <si>
    <t>210264A167</t>
  </si>
  <si>
    <t>PIVOTING MOUNTING (REPLACING 2980610000 00)</t>
  </si>
  <si>
    <t>210264A168</t>
  </si>
  <si>
    <t>0105529046079</t>
  </si>
  <si>
    <t>บริษัท เท็คแมน (ไทยแลนด์) จำกัด</t>
  </si>
  <si>
    <t xml:space="preserve">สเปรย์กัดสนิม คลายน๊อต SUPERTECT ขนาดบรรจุกระป๋องละ 12 ออนซ์ </t>
  </si>
  <si>
    <t xml:space="preserve">210264TRJ074 </t>
  </si>
  <si>
    <t>ใบเลื่อยตัดเหล็ก ขนาด 12"x1/2"x18T "ECLIPSE"</t>
  </si>
  <si>
    <t>210264TRJ075</t>
  </si>
  <si>
    <t>ปะเก็นสตีม # IT50 แบบไม่มีไส้ลวด ขนาดกว้าง 5 ฟุตxยาว 5 ฟุตxหนา 3 มม.</t>
  </si>
  <si>
    <t xml:space="preserve">210264TRJ076 </t>
  </si>
  <si>
    <t>น๊อตสแตนเลส ขนาด M12</t>
  </si>
  <si>
    <t>210264TRJ077</t>
  </si>
  <si>
    <t xml:space="preserve">ปะเก็นกราไฟท์ แบบไม่มีไส้ลวด ขนาด 3มม.x1เมตรx2เมตร      </t>
  </si>
  <si>
    <t>210264TRJ078</t>
  </si>
  <si>
    <t>0105531035046</t>
  </si>
  <si>
    <t xml:space="preserve">บริษัท แอนตี้ไฟร์ จำกัด </t>
  </si>
  <si>
    <t xml:space="preserve">ว่าจ้างพร้อมอุปกรณ์ในการซ่อมชุด COLTRON PANEL ของระบบดับเพลิงอัตโนมัติ </t>
  </si>
  <si>
    <t>210264TRJ079</t>
  </si>
  <si>
    <t>N2 FIRE SUPPRESSION SYSTEM และตรวจสอบท่อระบบดับเพลิง</t>
  </si>
  <si>
    <t>MULTI RIB BELT 3PJ346</t>
  </si>
  <si>
    <t>28 เมษายน 2564</t>
  </si>
  <si>
    <t>210264A169</t>
  </si>
  <si>
    <t>0105526046655</t>
  </si>
  <si>
    <t xml:space="preserve">บริษัท เทคเนท จำกัด  </t>
  </si>
  <si>
    <t>CYLINDER "BIMBA" TYPE 173-DP</t>
  </si>
  <si>
    <t>210264A170</t>
  </si>
  <si>
    <t xml:space="preserve">
</t>
  </si>
  <si>
    <t>"RITTAL" SK DIGITAL TEMPERATURE GAUGESK 3114.200</t>
  </si>
  <si>
    <t>210264PRJ221</t>
  </si>
  <si>
    <t>6102042-000-02 TA2543 ROLLER 1117DR494-2</t>
  </si>
  <si>
    <t>210264PRJ222</t>
  </si>
  <si>
    <t>บริษัท คาร์บอน คิงส์ จำกัด</t>
  </si>
  <si>
    <t>แคลมป์ล็อคมือจับ SUS304</t>
  </si>
  <si>
    <t>29 เมษายน 2564</t>
  </si>
  <si>
    <t xml:space="preserve">210264A171 </t>
  </si>
  <si>
    <t>"C.S.TOOL" PARALLEL KEYS ลิ่มเหล็ก S45C TYPE B 4x4x300 mm.</t>
  </si>
  <si>
    <t>210264PRJ223</t>
  </si>
  <si>
    <t xml:space="preserve">BELT E8/2 UO/V15 LG GREEN W=50mm.xL=1,100mm. Endless with lateral
</t>
  </si>
  <si>
    <t>210264PRJ224</t>
  </si>
  <si>
    <t>groove on top face</t>
  </si>
  <si>
    <t>7587813-000-00 NT4204 GROOVED RING NI 150-36x46x7</t>
  </si>
  <si>
    <t>210264PRJ225</t>
  </si>
  <si>
    <t>ห้างหุ้นส่วนจำกัด ที.พี. จ็อบ อิเล็คทริค</t>
  </si>
  <si>
    <t xml:space="preserve">ว่าจ้างพร้อมอุปกรณ์ในการซ่อมแซมระบบ ACCESS CONTROL
</t>
  </si>
  <si>
    <t>210264R040</t>
  </si>
  <si>
    <t>BAR CODE POSITIONING SYSTEM LEUZE BPS 8 SM 102-01 50104783</t>
  </si>
  <si>
    <t>30 เมษายน 2564</t>
  </si>
  <si>
    <t>210264A172</t>
  </si>
  <si>
    <t>งานซื้อ PRESSURE REDUCING VALVE ของฝ่ายผลิตด้านใบยา</t>
  </si>
  <si>
    <t>210264พ/วศ.22</t>
  </si>
  <si>
    <t xml:space="preserve">                                                                                 ประจำไตรมาสที่ 3 (เดือนเมษายน พ.ศ. 2564 ถึง เดือนมิถุนายน พ.ศ. 2564)</t>
  </si>
  <si>
    <t>ว่าจ้างพร้อมอุปกรณ์ในการขึ้นรูปชิ้นงาน CONROD ชิ้นส่วนเครื่อง ALFA RAM No.15</t>
  </si>
  <si>
    <t>5 พฤษภาคม 2564</t>
  </si>
  <si>
    <t>210264PRJ226</t>
  </si>
  <si>
    <t>SEAL CR 60x75x8 CRW1V</t>
  </si>
  <si>
    <t>210264PRJ227</t>
  </si>
  <si>
    <t xml:space="preserve">"ABB" INVERTER TYPE : ACS580-01-12A7-4(PHd : 4 kW, IHd : 9.4 A, Frame Size R1, Heavy)
 </t>
  </si>
  <si>
    <t>210264PRJ228</t>
  </si>
  <si>
    <t xml:space="preserve">Power supply : 3 phase 380-480V 50/60Hz </t>
  </si>
  <si>
    <t>ว่าจ้างพร้อมอุปกรณ์ในการล้างระบบกาว HOTMELT พร้อมอะไหล่ สำหรับใช้กับเครื่องบรรจุซอง ALFA RAM</t>
  </si>
  <si>
    <t>210264PRJ229</t>
  </si>
  <si>
    <t xml:space="preserve">No.26 </t>
  </si>
  <si>
    <t>ว่าจ้างพร้อมอุปกรณ์ในการขึ้นรูปชิ้นงานแปรง ชิ้นส่วนเครื่อง ALFA RAM No.26</t>
  </si>
  <si>
    <t>210264PRJ230</t>
  </si>
  <si>
    <t>ว่าจ้างพร้อมอุปกรณ์ในการซ่อมรถยกไฟฟ้า HYSTER S/N B226R 01670B</t>
  </si>
  <si>
    <t>210264R041</t>
  </si>
  <si>
    <t>เพลาเหล็ก MO40 ขนาด D. 65 มม. x 2 เมตร</t>
  </si>
  <si>
    <t>6 พฤษภาคม 2564</t>
  </si>
  <si>
    <t>2102641A031</t>
  </si>
  <si>
    <t>P-100 Dia. 3 x 50 MM. ยาว 500 M.</t>
  </si>
  <si>
    <t>210264PRJ231</t>
  </si>
  <si>
    <t>HEATER Dia. 12.65 x 90 mm. 350 W 110 VAC</t>
  </si>
  <si>
    <t>11 พฤษภาคม 2564</t>
  </si>
  <si>
    <t>210264A173</t>
  </si>
  <si>
    <t>HHS PROMELT GLUE HOSE (2.4 m. LENGTH)</t>
  </si>
  <si>
    <t>210264A174</t>
  </si>
  <si>
    <t>บริษัท เอส เอ็ม วาย คอร์ปอเรชั่น กรุ๊ป จำกัด</t>
  </si>
  <si>
    <t>FLEXIBLE HOSE SS316 12 3/4" x L1.0 m</t>
  </si>
  <si>
    <t>210264A175</t>
  </si>
  <si>
    <t>BRUSH</t>
  </si>
  <si>
    <t xml:space="preserve">210264A176 </t>
  </si>
  <si>
    <t xml:space="preserve">"ESBELT" PVC. CONVEYOR BELT TYPE CLINA 21 CF SIZE W: 1,200 mm. x L: 7,500 mm.
</t>
  </si>
  <si>
    <t>210264A177</t>
  </si>
  <si>
    <t>KIT,FILTER,SATURN,MELTER,100 MESH</t>
  </si>
  <si>
    <t>210264A178</t>
  </si>
  <si>
    <t>DOUBLE ACTING CYLINDER "FESTO" DZF-40-80-A-P-A</t>
  </si>
  <si>
    <t>210264A179</t>
  </si>
  <si>
    <t xml:space="preserve">บริษัท ฐิโอกะ เอ็นเตอร์ไพร์ส จำกัด </t>
  </si>
  <si>
    <t>"ITOH DENKI" CIRCUIT BOARD FOR ROLLER TO ROLLER POLT-V</t>
  </si>
  <si>
    <t>210264A180</t>
  </si>
  <si>
    <t>BELT MODEL: HBR-605FP-B</t>
  </si>
  <si>
    <t>"EATON" SOFT STARTER MODEL : DS7-340SX055N</t>
  </si>
  <si>
    <t>210264PRJ232</t>
  </si>
  <si>
    <t>สกรูตัวผู้สแตนเลส M5 x 20 mm</t>
  </si>
  <si>
    <t>210264PRJ233</t>
  </si>
  <si>
    <t xml:space="preserve">DP27 PRESSURE REDUCING VALVE 1/2" BSPRED "SPIRAX SARCO"   </t>
  </si>
  <si>
    <t>210264PRJ234</t>
  </si>
  <si>
    <t>BEARING SKF NU 1008 ML (รังทองเหลือง)</t>
  </si>
  <si>
    <t>210264PRJ235</t>
  </si>
  <si>
    <t>OILES 30M NO.300 DIA.35x200MM.</t>
  </si>
  <si>
    <t>210264PRJ236</t>
  </si>
  <si>
    <t>DP27 PRESSURE REDUCING VALVE BSP 3/4" "SPIRAX SARCO"</t>
  </si>
  <si>
    <t>210264PRJ237</t>
  </si>
  <si>
    <t>หลอดนีออน TL5 28W/865 แสงสีขาว "PHILIPS"</t>
  </si>
  <si>
    <t>210264T006</t>
  </si>
  <si>
    <t>ตะแกรงเหล็กฉีก ขนาด 4*8 ฟุตxหนา1.6 มม. ช่องกว้างรู 12 มม.</t>
  </si>
  <si>
    <t>12 พฤษภาคม 2564</t>
  </si>
  <si>
    <t>210264R039</t>
  </si>
  <si>
    <t>ว่าจ้างพร้อมอุปกรณ์ในการซ่อมเปลี่ยนท่อเมนน้ำดับเพลิง HDPF ขนาด D.10 นิ้ว</t>
  </si>
  <si>
    <t>210264BT035</t>
  </si>
  <si>
    <t>ชำรุดรั่วใต้ดินบริเวณทางเดิน WALK WAY</t>
  </si>
  <si>
    <t xml:space="preserve">ยางหุ้มท่อส่งน้ำ AEROFLEX ขนาด 1 1/4"x1"  NO.10158 (8 เส้น/กล่อง)
</t>
  </si>
  <si>
    <t>210264D010</t>
  </si>
  <si>
    <t>ว่าจ้างพร้อมอุปกรณ์ในการซ่อมรถยกไฟฟ้ายี่ห้อ HYSTER S/N : B226R 01677B</t>
  </si>
  <si>
    <t>210264R044</t>
  </si>
  <si>
    <t xml:space="preserve">น้ำยาล้างแอร์ "REFRIGO" RFGO-DESCALER-F2-PL ขนาด 20 kg
</t>
  </si>
  <si>
    <t>210264RR041</t>
  </si>
  <si>
    <t xml:space="preserve">ปลั๊กเพาเวอร์ (ตัวเมียกลางทาง) 3P+N+E 32A IP44 รุ่น 313.3248 "SCAME"
</t>
  </si>
  <si>
    <t>210264T007</t>
  </si>
  <si>
    <t>SUPER LUBRICANT S-39 สารหล่อลื่นชนิดพิเศษ</t>
  </si>
  <si>
    <t>13 พฤษภาคม 2564</t>
  </si>
  <si>
    <t>2102641A032</t>
  </si>
  <si>
    <t>STANDARD CYLINDER "FESTO" DSBC-40-600-PPVA-N3</t>
  </si>
  <si>
    <t>210264A181</t>
  </si>
  <si>
    <t>0105551067890</t>
  </si>
  <si>
    <t>PZA 600/24VDC 1n/o 2n/c "PILZ" TIME MONITGRING SAFETYRELAY</t>
  </si>
  <si>
    <t>210264A182</t>
  </si>
  <si>
    <t>โอเวอร์โหลด ZB12-10 6-10A "EATON"</t>
  </si>
  <si>
    <t>210264BT036</t>
  </si>
  <si>
    <t>0105537143215</t>
  </si>
  <si>
    <t>บริษัท ออฟฟิศ เมท (ไทย) จำกัด</t>
  </si>
  <si>
    <t>แผ่นพลาสติกลูกฟูก 3 มม. 65 x 122 ซม.น้ำเงิน แพลนโก F2-PB7</t>
  </si>
  <si>
    <t>210264V003</t>
  </si>
  <si>
    <t>SPOOL SIZE 19x50 mm.</t>
  </si>
  <si>
    <t>14 พฤษภาคม 2564</t>
  </si>
  <si>
    <t>210264A183</t>
  </si>
  <si>
    <t>COLLECTOR SHOE WAMPFLER 081002-1*1 PH FOR 0811 16A L=48 mm.</t>
  </si>
  <si>
    <t>210264A184</t>
  </si>
  <si>
    <t xml:space="preserve">ป้ายประตูฉุกเฉิน AUTOMATIC EXIT LIGHT MODEL FHB 111 ED (BOX TYPE 1SIDE) LED 
</t>
  </si>
  <si>
    <t>210264GT009</t>
  </si>
  <si>
    <t xml:space="preserve">LAMP 1x15W SLA BATTERY 12V 2.9Ah. และรายการอื่นๆรวม 3 รายการ
</t>
  </si>
  <si>
    <t xml:space="preserve">โคมฝังทีบาร์ตะแกรงสะเท้าเงา 2x36W (60x120 CM) รุ่น VCK1018TR/240 พร้อมหลอดนีออน LED 
</t>
  </si>
  <si>
    <t>210264GT010</t>
  </si>
  <si>
    <t>สีเหลือง</t>
  </si>
  <si>
    <t xml:space="preserve">174320 โซลินอยด์วาล์ว SX (RO) 5/2 ทาง   </t>
  </si>
  <si>
    <t>210264PRJ238</t>
  </si>
  <si>
    <t xml:space="preserve">ว่าจ้างพร้อมอุปกรณ์ในการซ่อมรถยกไฟฟ้ายี่ห้อ JUNGHEINRICH S/N 908215 
</t>
  </si>
  <si>
    <t>210264R043</t>
  </si>
  <si>
    <t>รุ่น EFG320N G 130-500DZ NO.23 และรายการอื่นๆรวม 2 รายการ</t>
  </si>
  <si>
    <t>ว่าจ้างพร้อมอุปกรณ์ในการซ่อมรถยกไฟฟ้ายี่ห้อ JUNGHEINRICH No.2</t>
  </si>
  <si>
    <t>210264R046</t>
  </si>
  <si>
    <t>ว่าจ้างพร้อมอุปกรณ์ในการซ่อม รถยกไฟฟ้า FORKLIFT</t>
  </si>
  <si>
    <t>210264R047</t>
  </si>
  <si>
    <t xml:space="preserve">บริษัท โตเซน อินดัสเตรียล จำกัด </t>
  </si>
  <si>
    <t xml:space="preserve">SF-7816-SUS304-80AX1400MML Model : SF-7816 Stainless Steel flexible Hose Tube : SUS304, </t>
  </si>
  <si>
    <t>210264TRJ080</t>
  </si>
  <si>
    <t>Braid: SUS304 c/w One end Fixed and one end loose flange PN16,SUS304 W/P:10</t>
  </si>
  <si>
    <t>ว่าจ้างพร้อมอุปกรณ์ในการขึ้นรูปชิ้นงาน CLAMP รหัส 130214634 ชิ้นส่วนเครื่อง ALFA</t>
  </si>
  <si>
    <t>17 พฤษภาคม 2564</t>
  </si>
  <si>
    <t>2102641A033</t>
  </si>
  <si>
    <t>CONTRAST</t>
  </si>
  <si>
    <t>210264A186</t>
  </si>
  <si>
    <t>BELT ESM 200/2.0+2.0 CS POLYOLEFIN W:1,000 mm.x L: 22,000 mm. Endless on site</t>
  </si>
  <si>
    <t>210264A187</t>
  </si>
  <si>
    <t>ว่าจ้างพร้อมอุปกรณ์ในการขึ้นรูปชิ้นงาน SHAFT ยึดลูกกลิ้งกาว ชิ้นส่วนเครื่องมวนบุหรี่ PROTOS 90 NO.17</t>
  </si>
  <si>
    <t>210264PRJ239</t>
  </si>
  <si>
    <t>BEARING NO.3205 A-2RS1TN9/MT33 "SKF"</t>
  </si>
  <si>
    <t>210264PRJ240</t>
  </si>
  <si>
    <t>:- ชิ้นงานสปริงสแตนเลส ชิ้นส่วนเครื่อง DELTA-W NO.22</t>
  </si>
  <si>
    <t>210264PRJ241</t>
  </si>
  <si>
    <t>ยางฟองน้ำ ขนาด 1/2"x1/8" (10เมตร/ม้วน)</t>
  </si>
  <si>
    <t>210264PRJ242</t>
  </si>
  <si>
    <t>สีสเปรย์ NO.029 (SILVER GREY) ขนาดบรรจุ 400 CC. "TOA"</t>
  </si>
  <si>
    <t>210264PRJ243</t>
  </si>
  <si>
    <t xml:space="preserve">"SIEMENS" Digital monitoring relay 3- phase supply voltage P/N : 3UG4615-
</t>
  </si>
  <si>
    <t>210264PRJ244</t>
  </si>
  <si>
    <t>1CR20 (Air freight)</t>
  </si>
  <si>
    <t>"BECKHOFF" 2-CHANNEL DIGITAL INPUT TERMINAL 24 V DC,FILTER 1 us,WITH</t>
  </si>
  <si>
    <t>210264PRJ245</t>
  </si>
  <si>
    <t>TIMESTAMP</t>
  </si>
  <si>
    <t>ว่าจ้างพร้อมอุปกรณ์ในการซ่อม SIMOTIONDRIVE-BASED CONTROL UNIT ยี่ห้อ SIEMENS</t>
  </si>
  <si>
    <t>210264PRJ246</t>
  </si>
  <si>
    <t>รุ่น D435-2 DP/PN ของเครื่องห่อสิบซอง SP No.01</t>
  </si>
  <si>
    <t xml:space="preserve">มอเตอร์พัดลม C 4UF "ECOFIT" 4VPR45 350AB22-H9 พร้อม คาปาซิเตอร์ รุ่น 4 UF 400V.
</t>
  </si>
  <si>
    <t>210264PRJ247</t>
  </si>
  <si>
    <t>มอเตอร์พัดลม ขนาด 120 mm.x120mm.x25mm.Model 4710NL-05W-B50</t>
  </si>
  <si>
    <t>210264PRJ248</t>
  </si>
  <si>
    <t>24VDC 0.13 A. "NMB"</t>
  </si>
  <si>
    <t>ปลั๊กยางตัวผู้ 3 ขา M301 "BEC"</t>
  </si>
  <si>
    <t>210264R045</t>
  </si>
  <si>
    <t>ใบเจียร์ ขนาด 4"x6 mm. #B-07266  "MAKITA"</t>
  </si>
  <si>
    <t>210264RR042</t>
  </si>
  <si>
    <t>ว่าจ้างพร้อมอุปกรณ์ในการซ่อมเปลี่ยนปะกับยาง สำหรับ WATER SEPARATOR ขนาด 8 นิ้ว</t>
  </si>
  <si>
    <t>210264RR043</t>
  </si>
  <si>
    <t xml:space="preserve">BEARING INA GE 80 XLKRRB </t>
  </si>
  <si>
    <t>210264TRJ081</t>
  </si>
  <si>
    <t>ว่าจ้างพร้อมอุปกรณ์ในการขึ้นรูป SPRING ขนาด D. 3.5มม.xกว้าง 23มม.xยาว 120มม.</t>
  </si>
  <si>
    <t>18 พฤษภาคม 2564</t>
  </si>
  <si>
    <t>2102641A034</t>
  </si>
  <si>
    <t>ชิ้นส่วนเครื่อง DELTA-P</t>
  </si>
  <si>
    <t>ว่าจ้างพร้อมอุปกรณ์ในการซ่อมเปลี่ยนท่อเมนรดน้ำต้นไม้ HDPE บริเวณสนามหญ้า</t>
  </si>
  <si>
    <t>210264BT037</t>
  </si>
  <si>
    <t xml:space="preserve">จำนวน 6 จุด </t>
  </si>
  <si>
    <t>TIMING BELT MAT:PU. WHITE STEEL CORD (TRULY ENDLESS) TYPE 10T10-370 WITH</t>
  </si>
  <si>
    <t>19 พฤษภาคม 2564</t>
  </si>
  <si>
    <t>210264PRJ249</t>
  </si>
  <si>
    <t>PROFILE ON TOP CONVER DIA. 9.5 MM. = 3 PCS. PITCH 110 MM.</t>
  </si>
  <si>
    <t xml:space="preserve">ว่าจ้างพร้อมอุปกรณ์ในการหล่อยาง NBR สีขาว ชิ้นส่วนเครื่องมวนบุหรี่ PROTOS 90E NO.5 </t>
  </si>
  <si>
    <t xml:space="preserve">210264PRJ250 </t>
  </si>
  <si>
    <t>ขนาด 45x110 mm. ความแข็งยาง 80 ชอร์-เอ</t>
  </si>
  <si>
    <t xml:space="preserve">SHAFT เหล็กเพลาขาว ขนาด D.10mm.x100cm. </t>
  </si>
  <si>
    <t xml:space="preserve"> 210264PRJ251</t>
  </si>
  <si>
    <t xml:space="preserve">ลวดเชื่อมไฟฟ้าสแตนเลส 308L-16 ขนาด 2.6x300 mm. "YAWATA"
</t>
  </si>
  <si>
    <t>210264PRJ252</t>
  </si>
  <si>
    <t xml:space="preserve">ว่าจ้างพร้อมอุปกรณ์ในการขึ้นรูป ชิ้นงาน SEALER ชิ้นส่วนเครื่องห่อกระดาษแก้ว DELTA-W NO.22 
</t>
  </si>
  <si>
    <t>210264PRJ253</t>
  </si>
  <si>
    <t>THERMAL OVERLOAD RELAY "FUJI" รุ่น TK12W</t>
  </si>
  <si>
    <t xml:space="preserve">210264PRJ254 </t>
  </si>
  <si>
    <t>BEARING "GMN" L40x52x10</t>
  </si>
  <si>
    <t>210264PRJ255</t>
  </si>
  <si>
    <t xml:space="preserve">INDUCTIVE SENSOR "PEPPERL+FUCHS" MODEL: NBB8-18GM60-A2-V1
</t>
  </si>
  <si>
    <t>20 พฤษภาคม 2564</t>
  </si>
  <si>
    <t>210264A188</t>
  </si>
  <si>
    <t xml:space="preserve">FREE ROLLER SIZE Dia. 30 x 145 mm. MAT; SCM4
</t>
  </si>
  <si>
    <t>210264A189</t>
  </si>
  <si>
    <t xml:space="preserve">15 INCH PANEL PC INDUSTRIAL GRADE RAM 4 GB/SSD 128 GB/i5-7200U MODEL : KLD-
</t>
  </si>
  <si>
    <t>210264A190</t>
  </si>
  <si>
    <t>1582K</t>
  </si>
  <si>
    <t>"BECKHOFF" EL1252 : 2-CHANNEL DIGITAL  INPUT TERMINAL 24V DC</t>
  </si>
  <si>
    <t>210264A191</t>
  </si>
  <si>
    <t>VALVE UNIT "FESTO" E04311918</t>
  </si>
  <si>
    <t>210264A192</t>
  </si>
  <si>
    <t>TIMBER SLAT CONVEYOR</t>
  </si>
  <si>
    <t>210264A193</t>
  </si>
  <si>
    <t>ว่าจ้างพร้อมอุปกรณ์ในการติดตั้งระบบสัญญาณเตือนอัคคีภัย ที่กองพัฒนาระบบวิศวกรรม ฝ่ายวิศวกรรมฯ</t>
  </si>
  <si>
    <t>210264S/A001</t>
  </si>
  <si>
    <t>อาคาร B08 ยสท.อยุธยา</t>
  </si>
  <si>
    <t>บริษัท เจพีอาร์ ออโต้  เซ็นเตอร์ จำกัด</t>
  </si>
  <si>
    <t>SEAL KIT FOR VALVE CONTROL &amp; SYSTEM</t>
  </si>
  <si>
    <t>21 พฤษภาคม 2564</t>
  </si>
  <si>
    <t>210264A185</t>
  </si>
  <si>
    <t>HYDRAULIC CYLINDER</t>
  </si>
  <si>
    <t>210264A194</t>
  </si>
  <si>
    <t xml:space="preserve">SYSTEM SMART SHELF WIRING DCQ TEST STATION SHELF 3 - "DUAL USE-NLR"
</t>
  </si>
  <si>
    <t>210264A195</t>
  </si>
  <si>
    <t>SUPPORT ROLLER DIA.60 WITH FLAT RING WHEEL</t>
  </si>
  <si>
    <t>24 พฤษภาคม 2564</t>
  </si>
  <si>
    <t>210264A196</t>
  </si>
  <si>
    <t>210264A197</t>
  </si>
  <si>
    <t>PHOTOELECTRIC SENSOR "SICK" WT150-P460</t>
  </si>
  <si>
    <t>210264A198</t>
  </si>
  <si>
    <t>ROUND BAR L 2,000 mm., BRACKET FORROLLER CONVEYOR : ASRS. OD31.8 , L</t>
  </si>
  <si>
    <t>210264A199</t>
  </si>
  <si>
    <t>2,000 mm. MATERIAL: SUS304 และรายการอื่นๆรวม 3 รายการ</t>
  </si>
  <si>
    <t xml:space="preserve">ว่าจ้างพร้อมอุปกรณ์ในการหล่อยาง NBR ทรงกรวยสีดำ ชิ้นส่วนเครื่อง SASIB LINK UP
</t>
  </si>
  <si>
    <t>2102641A035</t>
  </si>
  <si>
    <t xml:space="preserve">ว่าจ้างพร้อมอุปกรณ์ในการซ่อมเปลี่ยน Check valve หัวรับน้ำดับเพลิง ขนาด 4 นิ้ว
</t>
  </si>
  <si>
    <t>210264BT038</t>
  </si>
  <si>
    <t>ว่าจ้างพร้อมอุปกรณ์ในการซ่อม รถยกไฟฟ้าJUNGHEINRICH รุ่น EJE120 G115 HANDLIFT TRUCK</t>
  </si>
  <si>
    <t>210264R048</t>
  </si>
  <si>
    <t xml:space="preserve">EVERPURE Carbon Block 0.5 Micron Model : 4FC (P/N : 969221)
</t>
  </si>
  <si>
    <t>210264RR044</t>
  </si>
  <si>
    <t>DP27 PRESSURE REDUCING VALVE 25MM PN16/25 RED "SPIRAX SARCO"</t>
  </si>
  <si>
    <t>210264TRJ082</t>
  </si>
  <si>
    <t>60001646 VIBRATION DAMPING</t>
  </si>
  <si>
    <t>210264TRJ083</t>
  </si>
  <si>
    <t>ถุงกรองฝุ่น FILTER BAG Dia.125x2050 mm. PE550G Snap ring. (cell plate dia. 130 mm.)</t>
  </si>
  <si>
    <t>210264TRJ084</t>
  </si>
  <si>
    <t>เพลาเหล็กหล่อ เกรด FC20 ขนาด D.100x300mm.</t>
  </si>
  <si>
    <t>25 พฤษภาคม 2564</t>
  </si>
  <si>
    <t>2102641A036</t>
  </si>
  <si>
    <t>0105532048567 </t>
  </si>
  <si>
    <t xml:space="preserve">บริษัท แปซิฟิก เมอร์คิวรี่ จำกัด </t>
  </si>
  <si>
    <t>"HAKANSSON" Bi-Metal Band saw blade M42-27-0.9-5/8-3025MM</t>
  </si>
  <si>
    <t>210264P016</t>
  </si>
  <si>
    <t>0125542000184</t>
  </si>
  <si>
    <t>บริษัท คอนโทรล รีสอร์ช จำกัด</t>
  </si>
  <si>
    <t xml:space="preserve">ว่าจ้างซ่อม INVERTER ยี่ห้อ "LENZE"Model : E82EV152-4C200 S/N 0106 ของเครื่อง G.D 121 No.34
</t>
  </si>
  <si>
    <t xml:space="preserve"> 210264PRJ256</t>
  </si>
  <si>
    <t>"LENZE" INVERTER TYPE : E82EV152_4C200 1.5 KW , 0-650 HZ</t>
  </si>
  <si>
    <t>210264PRJ257</t>
  </si>
  <si>
    <t xml:space="preserve">ว่าจ้างพร้อมอุปกรณ์ในการซ่อมปั๊มน้ำประปา No.B03-GCBP01-2
</t>
  </si>
  <si>
    <t>210264RR045</t>
  </si>
  <si>
    <t>ว่าจ้างพร้อมอุปกรณ์ในการซ่อมเปลี่ยนท่อเมนน้ำดับเพลิง HDPE ขนาด D.10 นิ้ว</t>
  </si>
  <si>
    <t>28 พฤษภาคม 2564</t>
  </si>
  <si>
    <t>210264BT039</t>
  </si>
  <si>
    <t>ว่าจ้างพร้อมอุปกรณ์ในการซ่อม เปลี่ยนท่อ HEADER จ่ายน้ำเย็นของห้อง AIR WASHER NO.1</t>
  </si>
  <si>
    <t>210264PRJ258</t>
  </si>
  <si>
    <t>BEARING SKF 629-2RSH</t>
  </si>
  <si>
    <t>210264PRJ259</t>
  </si>
  <si>
    <t>ว่าจ้างพร้อมอุปกรณ์ในการขึ้นรูป ชิ้นงาน ROUNDBAR GUIDEWAY ชิ้นส่วนเครื่อง</t>
  </si>
  <si>
    <t>210264TRJ085</t>
  </si>
  <si>
    <t>ROLLER CONVEYOR (144.05)</t>
  </si>
  <si>
    <t>AMPLIFIER "SICK" WLL180T-P432</t>
  </si>
  <si>
    <t>31 พฤษภาคม 2564</t>
  </si>
  <si>
    <t>210264A200</t>
  </si>
  <si>
    <t xml:space="preserve">แมกเนติก DILM15-10 COIL230V "EATON" </t>
  </si>
  <si>
    <t>210264BT040</t>
  </si>
  <si>
    <t>"ESBELT" PVC.CONVEYOR ENDLESS JOINT TYPE CLINA 07 CF SIZE W 388 mm. x L</t>
  </si>
  <si>
    <t>210264PRJ260</t>
  </si>
  <si>
    <t>3,422 mm.</t>
  </si>
  <si>
    <t>เพลาสแตนเลส เกรด 304 ขนาด D. 12 mm. x 6 m.</t>
  </si>
  <si>
    <t>210264PRJ261</t>
  </si>
  <si>
    <t>"DATALOGIC" FIBER OPTIC AMPLIFIER MODEL : S7-5-E-P OUTPUT : PNP CONNECTION : M8</t>
  </si>
  <si>
    <t>210264PRJ262</t>
  </si>
  <si>
    <t>CONNECTOR</t>
  </si>
  <si>
    <t>สายพาน HTD 1400-14M-85mm."GATES"</t>
  </si>
  <si>
    <t>210264PRJ263</t>
  </si>
  <si>
    <t>"ESBELT"PU CONVEYOR BELT TYPE BREDA 2020 (2 PLY,THICKNESS 3.00MM.) SIZE W:1,450 MM. *</t>
  </si>
  <si>
    <t>210664อ/วศ.32</t>
  </si>
  <si>
    <t>L:18,500 MM.</t>
  </si>
  <si>
    <t>บริษัท อินเตอร์ เท็ค เซอร์วิส จำกัด</t>
  </si>
  <si>
    <t>อะไหล่สำหรับใช้กับเครื่องดูดฝุ่น รวม CENTRAL DUST COLLECTOR RIEDEL</t>
  </si>
  <si>
    <t>210664อ/วศ.33</t>
  </si>
  <si>
    <t>TOUCHSCREEN CONTROL PANEL (S7 PLC)</t>
  </si>
  <si>
    <t>210664อ/วศ.34</t>
  </si>
  <si>
    <t>อะไหล่ใช้สำหรับกับเครื่องห่อกระดาษแก้ว DELTA-W NO.12</t>
  </si>
  <si>
    <t>210664อ/วศ.35</t>
  </si>
  <si>
    <t>อะไหล่สำหรับใช้กับเครื่องดูดฝุ่นรวม CENTRAL DUST COLLECTOR GROUP NO.1</t>
  </si>
  <si>
    <t>210664อ/วศ.36</t>
  </si>
  <si>
    <t xml:space="preserve">อะไหล่ CONSUMABLE PARTS สายพานสำหรับใช้กับเครื่องขึ้นลำก้นกรอง AIGER RMS </t>
  </si>
  <si>
    <t>210664อ/วศ.37</t>
  </si>
  <si>
    <t>บริษัทพี.ประชุม จำกัด</t>
  </si>
  <si>
    <t>อะไหล่สำหรับใช้กับเครื่องต่อก้นกรอง PROTOS MAX 90 จำนวน 1 รายการ</t>
  </si>
  <si>
    <t>27 พฤษภาคม 2564</t>
  </si>
  <si>
    <t>210664อ/วศ.38</t>
  </si>
  <si>
    <t>อะไหล่สำหรับใช้กับกลุ่มเครื่องจักรผลิตบุหรี่ PROTOS จำนวน 6 รายการ</t>
  </si>
  <si>
    <t>210664อ/วศ.39</t>
  </si>
  <si>
    <t>0125561003533</t>
  </si>
  <si>
    <t>บริษัท ชตา อินสทรูเม้นท์ จำกัด</t>
  </si>
  <si>
    <t>อะไหล่สำหรับใช้กับเครื่องจักร FLAVOUR KITCHEN จำนวน 1 รายการ</t>
  </si>
  <si>
    <t>210664อ/วศ.40</t>
  </si>
  <si>
    <t xml:space="preserve">ลวดเชื่อมไฟฟ้า RB-26 ขนาด 2.6ม.ม.x350มม. "KOBE" (2กก.)
</t>
  </si>
  <si>
    <t>1 มิถุนายน 2564</t>
  </si>
  <si>
    <t>2102641A037</t>
  </si>
  <si>
    <t>สกรูหัวจมเตเปอร์ดำ ขนาด M5x25มม.</t>
  </si>
  <si>
    <t>2102641A038</t>
  </si>
  <si>
    <t>POM WHITE ROD ขนาด D.55 MM x 1 M.</t>
  </si>
  <si>
    <t>2102641A039</t>
  </si>
  <si>
    <t>ว่าจ้างพร้อมอุปกรณ์ในการขึ้นรูปชิ้นงานแกนรับน้ำหนักจังหวะคว่ำราง</t>
  </si>
  <si>
    <t>210264PRJ264</t>
  </si>
  <si>
    <t>ชิ้นส่วนเครื่อง MAGOMAT 80 NO.13</t>
  </si>
  <si>
    <t>3809579-000-000-00 EN5130 DISPLAY ROTARY SPEED</t>
  </si>
  <si>
    <t>210264PRJ265</t>
  </si>
  <si>
    <t xml:space="preserve">ว่าจ้างพร้อมอุปกรณ์ในการขึ้นรูปชิ้นงานตัดเลเซอร์ FLAT BAR STEEL รหัสอะไหล่ 130200145 </t>
  </si>
  <si>
    <t>2 มิถุนายน 2564</t>
  </si>
  <si>
    <t>2102641A040</t>
  </si>
  <si>
    <t>ของเครื่อง PROTOSVE/SE 70  SIZE 133x66x6mm. และรายการอื่นๆรวม 4 รายการ</t>
  </si>
  <si>
    <t xml:space="preserve">บริษัท ไซ-อาร์กัส จำกัด </t>
  </si>
  <si>
    <t>"LENZE" SERVO INVERTER SERIES 9300 TYPE  : EVS9324-ES</t>
  </si>
  <si>
    <t>210264A201</t>
  </si>
  <si>
    <t>SOLENOID VALVE "FESTO" JMFH-5-1/8</t>
  </si>
  <si>
    <t>7 มิถุนายน 2564</t>
  </si>
  <si>
    <t>210264A202</t>
  </si>
  <si>
    <t>FRONT CASING COVER PUMP MATERIAL: SUS316L</t>
  </si>
  <si>
    <t>210264A203</t>
  </si>
  <si>
    <t>SITOP PSU100S 24 V/10 A STABILIZED POWER SUPPLY INPUT: 120/230 V AC</t>
  </si>
  <si>
    <t>210264A204</t>
  </si>
  <si>
    <t>OUTPUT: DC 24 V/10 A และรายการอื่นๆรวม 4 รายการ</t>
  </si>
  <si>
    <t>SEAL KIT FOR HYDRAULIC PUMP</t>
  </si>
  <si>
    <t>210264A205</t>
  </si>
  <si>
    <t>เทปพันเกลียว ขนาด 12มม.x0.075มม.x10เมตร "AZUMA"</t>
  </si>
  <si>
    <t>210264GT011</t>
  </si>
  <si>
    <t xml:space="preserve">ว่าจ้างพร้อมอุปกรณ์ในการขึ้นรูป SPRING ขนาด D. 0.5มม.x กว้าง 3มม.x ยาว 145มม.
</t>
  </si>
  <si>
    <t>210264PRJ266</t>
  </si>
  <si>
    <t>ชิ้นส่วนเครื่อง ALFA RAM NO.21</t>
  </si>
  <si>
    <t>:- S/N B226R 01684B</t>
  </si>
  <si>
    <t>210264R049</t>
  </si>
  <si>
    <t>ปลั๊กกราวด์คู่ WEG15929 "PANASONIC"</t>
  </si>
  <si>
    <t>210264T008</t>
  </si>
  <si>
    <t xml:space="preserve">ป้ายอลูมิเนียม ระวังสารเคมี ขนาด 1.2mm.x30cm.x45cm. "3M"
</t>
  </si>
  <si>
    <t>210264V004</t>
  </si>
  <si>
    <t>MULTIFILTER BAG GRADE PE554 CS17</t>
  </si>
  <si>
    <t>8 มิถุนายน 2564</t>
  </si>
  <si>
    <t>210264A206</t>
  </si>
  <si>
    <t>CONATEX IR70R3300010X//PT100, 4-20 mA</t>
  </si>
  <si>
    <t>210264A207</t>
  </si>
  <si>
    <t xml:space="preserve">FIBER OPTIC AMPLIFIER WITH DISPLAY-M8CONNECTOR PNP
</t>
  </si>
  <si>
    <t>210264A208</t>
  </si>
  <si>
    <t xml:space="preserve">ว่าจ้างพร้อมอุปกรณ์ในการขึ้นรูปชิ้นงานอุปกรณ์กดม้วนแสตมป์ ชิ้นส่วนเครื่องบรรจุซอง ALFA RAM NO.23 </t>
  </si>
  <si>
    <t>210264PRJ268</t>
  </si>
  <si>
    <t>ว่าจ้างพร้อมอุปกรณ์ในการซ่อมเครื่องปรับอากาศ ของตู้ควบคุมไฟฟ้า ของเครื่อง ALFA RAM No.18</t>
  </si>
  <si>
    <t xml:space="preserve">210264PRJ269 </t>
  </si>
  <si>
    <t>สายไฟ THW ขนาด 2.5ตร.มม.สีเขียวคาดเหลือง "YAZAKI"</t>
  </si>
  <si>
    <t>210264PRJ270</t>
  </si>
  <si>
    <t>เบรกเกอร์ PKZM4-63 55-64A "EATON"</t>
  </si>
  <si>
    <t>210264PRJ271</t>
  </si>
  <si>
    <t xml:space="preserve">UV LAMP TYPE S330-RL "R-CAN" </t>
  </si>
  <si>
    <t>210264RR046</t>
  </si>
  <si>
    <t xml:space="preserve">สตัดเกลียวตลอด เหล็กชุบซิงค์ ขนาด D.36mm. เกลียว 4.0mm. ยาว 1m.
</t>
  </si>
  <si>
    <t xml:space="preserve">210264TRJ086 </t>
  </si>
  <si>
    <t>BEARING NO.6201 ZZCM/5K "NTN"</t>
  </si>
  <si>
    <t>210264TRJ087</t>
  </si>
  <si>
    <t>ว่าจ้างพร้อมอุปกรณ์ในการตัดเลเซอร์ขึ้นรูปชิ้นงาน SHUNT SWITCH รหัส</t>
  </si>
  <si>
    <t>9 มิถุนายน 2564</t>
  </si>
  <si>
    <t>2102641A041</t>
  </si>
  <si>
    <t>130210080 ชิ้นส่วนเครื่อง DELTA-W</t>
  </si>
  <si>
    <t>210264A209</t>
  </si>
  <si>
    <t xml:space="preserve">PNOZ m EF 8DI4DO  "PILZ" SAFETY CONTROLLER PNOZ MULTI 2 EXPANSION
</t>
  </si>
  <si>
    <t>210264A210</t>
  </si>
  <si>
    <t>MODULE และรายการอื่นๆรวม 3 รายการ</t>
  </si>
  <si>
    <t>0105544002028</t>
  </si>
  <si>
    <t>บริษัท ไตรโบ เทค จำกัด</t>
  </si>
  <si>
    <t>JET-LUBE FOOD GRADE SILICONE (สเปรย์ป้องกันการติดแน่น)</t>
  </si>
  <si>
    <t>210264A211</t>
  </si>
  <si>
    <t xml:space="preserve">CYLINDER "BIMBA" 173-DP </t>
  </si>
  <si>
    <t>210264PRJ272</t>
  </si>
  <si>
    <t>FT007303 BN63B 4P B5 : MOTOR 0.18KW 230/400-50 "BONFIGLIOLI"</t>
  </si>
  <si>
    <t>210264PRJ275</t>
  </si>
  <si>
    <t>"SIEMENS" CIRCUIT BREAKER 3VF1231- 1DK11-OAAO</t>
  </si>
  <si>
    <t>210264PRJ276</t>
  </si>
  <si>
    <t>BALL BEARING 6204-2Z</t>
  </si>
  <si>
    <t>10 มิถุนายน 2564</t>
  </si>
  <si>
    <t>210264A212</t>
  </si>
  <si>
    <t>ASSEMBLY KIT NL2-MBR-X000-W04</t>
  </si>
  <si>
    <t>210264A213</t>
  </si>
  <si>
    <t xml:space="preserve">เพลาอลูมิเนียมอัลลอยด์ เกรด 7075 ขนาด D.50.80mm.x3m.
</t>
  </si>
  <si>
    <t>210264PRJ273</t>
  </si>
  <si>
    <t>SEAL AMD TC 35x55x8 VITON</t>
  </si>
  <si>
    <t>210264PRJ274</t>
  </si>
  <si>
    <t>PHOTO SENSOR "PEPPERL+FUCHS" MODEL: LT 500 G</t>
  </si>
  <si>
    <t>11 มิถุนายน 2564</t>
  </si>
  <si>
    <t>210264A214</t>
  </si>
  <si>
    <t>DOUBLE ACTING CYLINDER BORE 32 mm. STROKE 50 mm. MODEL : RA/8032/M/50</t>
  </si>
  <si>
    <t>210264A215</t>
  </si>
  <si>
    <t xml:space="preserve">GAS DETECTOR SYSTEM BY "RIKEN KEIKI" TRANSMITTER TYPE GAS DETECTOR : SD-
</t>
  </si>
  <si>
    <t>210264A216</t>
  </si>
  <si>
    <t>D58GH FOR NH3</t>
  </si>
  <si>
    <t>0135563005665</t>
  </si>
  <si>
    <t>บริษัท ทีเค เพาเวอร์ เอ็นจิเนียริ่ง (2020)</t>
  </si>
  <si>
    <t>ว่าจ้างพร้อมอุปกรณ์ในการซ่อมเปลี่ยนท่อเมนน้ำประปารดน้ำต้นไม้ ชำรุดรั่วใต้ดิน</t>
  </si>
  <si>
    <t>210264BT041</t>
  </si>
  <si>
    <t xml:space="preserve">ว่าจ้างพร้อมอุปกรณ์ในการซ่อมเครื่องกัดเฟือง KASHIFUJIติดตั้งใช้งานที่กองผลิตชิ้นส่วนอะไหล่ฯ </t>
  </si>
  <si>
    <t>210264C013</t>
  </si>
  <si>
    <t xml:space="preserve">ว่าจ้างพร้อมอุปกรณ์ในการขึ้นรูปชิ้นงานฝาครอบกันฝุ่นเข้า ROLLER ชุดป้อนกระดาษก้นกรอง </t>
  </si>
  <si>
    <t>210264PRJ277</t>
  </si>
  <si>
    <t>ชิ้นส่วนเครื่อง AIGER RMS NO.8</t>
  </si>
  <si>
    <t>3M 7711 แผ่นกรองฝุ่น</t>
  </si>
  <si>
    <t>210264RS003</t>
  </si>
  <si>
    <t>ว่าจ้างพร้อมอุปกรณ์ในการขึ้นรูป ชิ้นงาน ROLLER COMPLETE SET ชุด LINK-UP</t>
  </si>
  <si>
    <t>14 มิถุนายน 2564</t>
  </si>
  <si>
    <t>210264PRJ278</t>
  </si>
  <si>
    <t>ชิ้นส่วนเครื่อง ALFA RAM No.6</t>
  </si>
  <si>
    <t>"HARTING" MALE INSERT MODEL  :  HAN  K  4/2 (M)</t>
  </si>
  <si>
    <t xml:space="preserve">210264PRJ279 </t>
  </si>
  <si>
    <t xml:space="preserve">ว่าจ้างพร้อมอุปกรณ์ในการซ่อมเปลี่ยนท่อเมนน้ำประปา ขนาด 2 นิ้ว และติดตั้ง SUPPORT </t>
  </si>
  <si>
    <t>15 มิถุนายน 2564</t>
  </si>
  <si>
    <t>210264GRJ002</t>
  </si>
  <si>
    <t>ว่าจ้างซ่อม CARD INTERFACE MODULE MODEL : SIMATIC ET 200SP IM155-6PN ST ยี่ห้อ</t>
  </si>
  <si>
    <t>210264PRJ280</t>
  </si>
  <si>
    <t xml:space="preserve">SIEMENS จำนวน 2 ตัว ของเครื่องบรรจุซอง ALFA RAM NO.9
</t>
  </si>
  <si>
    <t>AMECOIL SR M6x1.00x9 DIN8140 THREAD INSERTS</t>
  </si>
  <si>
    <t>210264PRJ281</t>
  </si>
  <si>
    <t>0275563000239</t>
  </si>
  <si>
    <t>บริษัท ซีเค.เอ็นเนอร์จี้ พลัส จำกัด</t>
  </si>
  <si>
    <t xml:space="preserve">ว่าจ้างตรวจสอบ และรับรองรายงาน การจัดการพลังงาน ประจำปี 2563
</t>
  </si>
  <si>
    <t>210264RR047</t>
  </si>
  <si>
    <t xml:space="preserve">ท่อสแตนเลส #10 มีตะเข็บ ขนาด 1"x 3 เมตร </t>
  </si>
  <si>
    <t>16 มิถุนายน 2564</t>
  </si>
  <si>
    <t>210264PRJ282</t>
  </si>
  <si>
    <t>BEARING SKF 16006</t>
  </si>
  <si>
    <t xml:space="preserve">210264PRJ283 </t>
  </si>
  <si>
    <t>บริษัท โพรมิเน้นท์ ฟลูอิด คอนโทรลส์ (ประเทศไทย) จำกัด</t>
  </si>
  <si>
    <t xml:space="preserve">"PROMINENT" SOLENOID-DRIVEN METERING PUMP GAMMA/XL </t>
  </si>
  <si>
    <t>17 มิถุนายน 2564</t>
  </si>
  <si>
    <t>210264A217</t>
  </si>
  <si>
    <t>TYPE :GXLAEU0450PVT20000UA1030EN และรายการอื่นๆรวม 4 รายการ</t>
  </si>
  <si>
    <t>DRIVE BELT</t>
  </si>
  <si>
    <t>210264A218</t>
  </si>
  <si>
    <t>แมกเนติก AF12-30-01-13 100-250VAC/DC"ABB"</t>
  </si>
  <si>
    <t>210264BT042</t>
  </si>
  <si>
    <t>18 มิถุนายน 2564</t>
  </si>
  <si>
    <t>210264A219</t>
  </si>
  <si>
    <t>0105553019876</t>
  </si>
  <si>
    <t>บริษัท แอบโซลูท แพคเกจจิ้ง แอนด์ ออโตเมชั่น จำกัด</t>
  </si>
  <si>
    <t>LAMP SOURCE</t>
  </si>
  <si>
    <t>210264A220</t>
  </si>
  <si>
    <t>DOOR SWITCH SCHMERSAL TESF/S/U 101182706</t>
  </si>
  <si>
    <t>210264A221</t>
  </si>
  <si>
    <t>:-รถยกไฟฟ้า KOMATSU S/N : NO.811824</t>
  </si>
  <si>
    <t>210264R051</t>
  </si>
  <si>
    <t>:- BUSH แกนเพลา PUSHER ชิ้นส่วนเครื่อง C-600 NO.8</t>
  </si>
  <si>
    <t>21 มิถุนายน 2564</t>
  </si>
  <si>
    <t>210264PRJ284</t>
  </si>
  <si>
    <t xml:space="preserve">:- ทำเพลาหน้าแปลน ขนาด 97.90x149.80x97.90 mm วัสดุเป็นเหล็กแข็ง ใช้กับเครื่อง ALFA RAM NO.22
</t>
  </si>
  <si>
    <t>210264PRJ285</t>
  </si>
  <si>
    <t>BUSH SINTERED SIZE 16x26x30</t>
  </si>
  <si>
    <t>210264PRJ286</t>
  </si>
  <si>
    <t>SCRAPER</t>
  </si>
  <si>
    <t>22 มิถุนายน 2564</t>
  </si>
  <si>
    <t>210264A222</t>
  </si>
  <si>
    <t>UNDERVOLTAGE RELEASE 24 V DC WITH SCREW</t>
  </si>
  <si>
    <t>210264A223</t>
  </si>
  <si>
    <t xml:space="preserve">TERMINAL FOR CIRCUIT BREAKER 3RV2
</t>
  </si>
  <si>
    <t>เพลาอลูมิเนียม เกรด 7075 ขนาด D. 3/4" x 5 เมตร</t>
  </si>
  <si>
    <t>210264PRJ287</t>
  </si>
  <si>
    <t>2138530 000 03 EN8420 MOTOR CONTROLUNIT</t>
  </si>
  <si>
    <t>210264PRJ288</t>
  </si>
  <si>
    <t>"CAMOZZI" SOLENOID VALVE CFB-A24N-R1-B7D-122-800 2/2 NC 1/2" 110V WITH COIL</t>
  </si>
  <si>
    <t>210264PRJ289</t>
  </si>
  <si>
    <t>B7D 110V50/60HZ</t>
  </si>
  <si>
    <t xml:space="preserve">ว่าจ้างพร้อมอุปกรณ์ในการซ่อม INVERTER ยี่ห้อ SIEMENS MODEL : 6SL3224-0BE15-AUAO 
  </t>
  </si>
  <si>
    <t>210264PRJ290</t>
  </si>
  <si>
    <t>S/N : XAA924-003878 ของเครื่องห่อกระดาษแก้ว DELTA-W NO.17</t>
  </si>
  <si>
    <t xml:space="preserve">ว่าจ้างพร้อมอุปกรณ์ในการซ่อมจอ HMI TOUCH SCREEN ขนาด 15 นิ้ว ยี่ห้อ SIEMENS รุ่น MP377 </t>
  </si>
  <si>
    <t>210264PRJ291</t>
  </si>
  <si>
    <t xml:space="preserve">ของเครื่องบรรจุซอง ALFA RAM No.21 </t>
  </si>
  <si>
    <t>MICRO-V BELT 615L15 1562 mm. GATES</t>
  </si>
  <si>
    <t>210264PRJ292</t>
  </si>
  <si>
    <t>V-RING AMD VA 45</t>
  </si>
  <si>
    <t>210264PRJ293</t>
  </si>
  <si>
    <t>ว่าจ้างพร้อมอุปกรณ์ในการซ่อมเปลี่ยนซีลกระบอกคว่ำหงาย/ไมโครสวิทซ์/โคมไฟท้าย/โคมไฟเลี้ยว</t>
  </si>
  <si>
    <t>210264R050</t>
  </si>
  <si>
    <t>ของรถยกไฟฟ้า KOMATSU S/N : 811828</t>
  </si>
  <si>
    <t xml:space="preserve">"GEMU" DIAPHAM CONTROL VALVE MODEL 67565D8892903 SEAL : EPDM BODY : </t>
  </si>
  <si>
    <t>23 มิถุนายน 2564</t>
  </si>
  <si>
    <t>210264A224</t>
  </si>
  <si>
    <t>EN-GJL-250 CAST IRONSTEEL FLANGE : EN 1092 PN16 DN 65 2.1/2"</t>
  </si>
  <si>
    <t>"ESBELT" PVC. CONVEYOR BELT TYPE CLINA 21 CK SIZE W: 1,000 mm. x L: 21,500 mm.</t>
  </si>
  <si>
    <t>210264A225</t>
  </si>
  <si>
    <t>บริษัท เอส.เค.เอส ดีไซน์ แอนด์ โปรดักชั่น จำกัด</t>
  </si>
  <si>
    <t xml:space="preserve">KNIFE VERGINIA 10 Deg. MATERIAL: SKD61  HARDENING 58-60 HRC. </t>
  </si>
  <si>
    <t>210264A226</t>
  </si>
  <si>
    <t>SINGLE ACTING CYLINDER "FESTO" ESUN-20-6-P</t>
  </si>
  <si>
    <t>210264A227</t>
  </si>
  <si>
    <t>"TIPCO" ยางมะตอยสำเร็จรูป (20K)</t>
  </si>
  <si>
    <t>210264BT043</t>
  </si>
  <si>
    <t>ELECTRONIC DIMMABLE BALLAST FOR COMPACT FLUOURESCENT LAMP 1x26 W "ECONO-WATD"</t>
  </si>
  <si>
    <t>210264BT044</t>
  </si>
  <si>
    <t>แปรงทาสี ขนาด 1 1/2"</t>
  </si>
  <si>
    <t>210264PRJ294</t>
  </si>
  <si>
    <t>CLAMP LOCK ขนาด 12.5mmx94mmx18mm</t>
  </si>
  <si>
    <t>210264PRJ295</t>
  </si>
  <si>
    <t>CP96SDB40-80C AIR CYLINDER SMC</t>
  </si>
  <si>
    <t>210264PRJ296</t>
  </si>
  <si>
    <t>ว่าจ้างพร้อมอุปกรณ์ในการขึ้นรูปชิ้นงานดุม FAN WHEEL(SUPPORT ROLLER)</t>
  </si>
  <si>
    <t>24 มิถุนายน 2564</t>
  </si>
  <si>
    <t>2102641A042</t>
  </si>
  <si>
    <t>ชิ้นส่วนเครื่องPROTOS VE 100E</t>
  </si>
  <si>
    <t>BALL BEARING 6205-2RSH/C3</t>
  </si>
  <si>
    <t>210264A228</t>
  </si>
  <si>
    <t>PIN</t>
  </si>
  <si>
    <t>210264A229</t>
  </si>
  <si>
    <t>AIR-CLUTCH CONTROLLER  PART NO. SA2715-043</t>
  </si>
  <si>
    <t>210264A230</t>
  </si>
  <si>
    <t xml:space="preserve">SEAMLESS BELT W: 35 mm.x L: 1,035 mm.(ไม่มีรอยต่อ) </t>
  </si>
  <si>
    <t>210264A231</t>
  </si>
  <si>
    <t>ลูกฟิวส์คัทติกฟิวส์ E27 10A</t>
  </si>
  <si>
    <t>210264BT045</t>
  </si>
  <si>
    <t>ลวดเชื่อมไฟฟ้า RB-26ขนาด 2.6มม.x350มม."KOBE" (2 กก./ห่อ)</t>
  </si>
  <si>
    <t>210264BT046</t>
  </si>
  <si>
    <t>ว่าจ้างพร้อมอุปกรณ์ในการซ่อมแมกเนติกคอนแทคเตอร์ LC1-D115 และชุดคอนแทคช่วย ของเครื่องอัดอากาศ</t>
  </si>
  <si>
    <t>210264RR048</t>
  </si>
  <si>
    <t>SULLAIR รุ่น LS20-125 NO.11  และรายการอื่นๆรวม 2 รายการ</t>
  </si>
  <si>
    <t>O-RING VITON AS144</t>
  </si>
  <si>
    <t>210264RR049</t>
  </si>
  <si>
    <t>DP27 PRESSURE REDUCING VALVE 1/2" BSPRED "SPIRAX SARCO"</t>
  </si>
  <si>
    <t>210264TRJ088</t>
  </si>
  <si>
    <t xml:space="preserve">:-หล่อยางยูริเทนสีแดง ขนาด 32x14 มม.ความแข็งยาง 80A ชิ้นส่วนชุด ASSEMBLY (ROLLER ASSY)
</t>
  </si>
  <si>
    <t>29 มิถุนายน 2564</t>
  </si>
  <si>
    <t>2102641A043</t>
  </si>
  <si>
    <t xml:space="preserve">ว่าจ้างพร้อมอุปกรณ์ในการหล่อยาง ยูริเทน สีแดง ชิ้นส่วนเชุด ROLLER ASSY ของเครื่อง ALFA 
</t>
  </si>
  <si>
    <t>2102641A044</t>
  </si>
  <si>
    <t>ขนาด 32x16มม. ความแข็งยาง 80 ชอร์-เอ</t>
  </si>
  <si>
    <t>2102641A045</t>
  </si>
  <si>
    <t>บริษัท เอ็นพีที กรีน จำกัด</t>
  </si>
  <si>
    <t xml:space="preserve">ว่าจ้างพร้อมอุปกรณ์ในการจัดทำ ขึ้นรูป TUBE (PIPE) ดูดแสตมป์ รหัสอะไหล่ 130207815                         </t>
  </si>
  <si>
    <t>2102641A046</t>
  </si>
  <si>
    <t>ชิ้นส่วนของเครื่อง ALFA</t>
  </si>
  <si>
    <t>ADAPTER SOCKET</t>
  </si>
  <si>
    <t>210264A232</t>
  </si>
  <si>
    <t>BUSHING</t>
  </si>
  <si>
    <t>210264A233</t>
  </si>
  <si>
    <t>PROBE (PT100)</t>
  </si>
  <si>
    <t>210264A234</t>
  </si>
  <si>
    <t xml:space="preserve">ว่าจ้างพร้อมอุปกรณ์ในการซ่อมระบบบำบัดน้ำเสียบริเวณหลังสำนักงาน 
            </t>
  </si>
  <si>
    <t xml:space="preserve">210264BT047 </t>
  </si>
  <si>
    <t>โครงการย้ายโรงงานผลิตยาสูบ ยสท.อยุธยา</t>
  </si>
  <si>
    <t>ล้อยูริเทน ขนาด 4" สีเหลือง เป็น</t>
  </si>
  <si>
    <t>210264C014</t>
  </si>
  <si>
    <t xml:space="preserve">ว่าจ้างพร้อมอุปกรณ์ในการชึ้นรูป ชิ้นงานSHAFT ลูกกลิ้งกาวกระดาษพันก้นกรอง
 </t>
  </si>
  <si>
    <t>210264PRJ297</t>
  </si>
  <si>
    <t>ชิ้นส่วนเครื่อง PROTOS MAX 90 No.15</t>
  </si>
  <si>
    <t>FLANGE BUSH SINTERED SIZE 20x26x20 F3</t>
  </si>
  <si>
    <t xml:space="preserve">210264PRJ298 </t>
  </si>
  <si>
    <t xml:space="preserve">VCOIL-04009 สปริงเสริมเกลียวชุดพร้อมอุปกรณ์ M5x0.8
</t>
  </si>
  <si>
    <t>210264PRJ299</t>
  </si>
  <si>
    <t xml:space="preserve">ว่าจ้างพร้อมอุปกรณ์ในการซ่อม ชุด CAM จำนวน 1 ชุด ชิ้นส่วนของเครื่อง ALFA RAM No.25 ยสท.อยุธยา
</t>
  </si>
  <si>
    <t>210264PRJ300</t>
  </si>
  <si>
    <t xml:space="preserve">ว่าจ้างพร้อมอุปกรณ์ในการซ่อม SINAMICS DRIVES DCM (DC CONVERTER 6RA8025-6DS22-0AA0) 
</t>
  </si>
  <si>
    <t>210264PRJ301</t>
  </si>
  <si>
    <t>ยี่ห้อ SIEMENS ของเครื่องมวนบุหรี่ PROTOS 70 NO.25</t>
  </si>
  <si>
    <t xml:space="preserve"> บริษัท ยูไนเต็ดเพาเวอร์อีควิปเม้นท์ จำกัด</t>
  </si>
  <si>
    <t>สักหลาด ขนาด 3x8x1,800 มม.</t>
  </si>
  <si>
    <t>210264PRJ302</t>
  </si>
  <si>
    <t>0105524022589</t>
  </si>
  <si>
    <t>บริษัท ทรัยเร็กซ์ อินเตอร์เนชั่นแนล จำกัด</t>
  </si>
  <si>
    <t>ROLLER CHAIN 10B-1 EB "REXNORD"</t>
  </si>
  <si>
    <t xml:space="preserve">210264PRJ303 </t>
  </si>
  <si>
    <t xml:space="preserve">210264PRJ304 </t>
  </si>
  <si>
    <t>ฝาครอบเหล็กอาบสังกะสี ขนาด 1 1/4"</t>
  </si>
  <si>
    <t>210264RR050</t>
  </si>
  <si>
    <t>CAPACITOR RUN 7.5 ไมโครฟารัด 440V.ตัวกลมมีสาย</t>
  </si>
  <si>
    <t>210264ST005</t>
  </si>
  <si>
    <t>และรายการอื่นๆรวม 15 รายการ</t>
  </si>
  <si>
    <t>BELT CONVEYOR PUW 1.9 DIAMOND SIZE: W 50 mm. x L 5,230 mm. ENDLESS WITH GUIDE</t>
  </si>
  <si>
    <t>30 มิถุนายน 2564</t>
  </si>
  <si>
    <t xml:space="preserve">210264A235 </t>
  </si>
  <si>
    <t>K6 CENTER และรายการอื่นๆรวม 3 รายการ</t>
  </si>
  <si>
    <t>ALARM CONTROL PANEL CANEL CABINET FOR AMMONIA (NH3) CONSISTHING OF - STROBE</t>
  </si>
  <si>
    <t>210264A236</t>
  </si>
  <si>
    <t xml:space="preserve">LIGHT AND HORN - POWER SUPPLY 24 Vdc
</t>
  </si>
  <si>
    <t>น้ำยาล้างคอนเทค NO.2016 ขนาด 350 กรัม "CRC"</t>
  </si>
  <si>
    <t>210264BT048</t>
  </si>
  <si>
    <t>ซื้ออะไหล่สำหรับใช้กับเครื่องมวนบุหรี่ PROTOS VE 70 NO.24</t>
  </si>
  <si>
    <t>4 มิถุนายน 2564</t>
  </si>
  <si>
    <t>210664อ/วศ.41</t>
  </si>
  <si>
    <t>MAIN DRIVE DC CONVERTER</t>
  </si>
  <si>
    <t>บริษัท ริคเคอร์มานน์ (ไทยแลนด์)</t>
  </si>
  <si>
    <t>จัดซื้ออะไหล่สำหรับใช้กับเครื่องบรรจุซอง ALFA-RAM NO.21</t>
  </si>
  <si>
    <t>210664อ/วศ.44</t>
  </si>
  <si>
    <t>SIMATIC MP 377 15 "TOUCH MULTI PANEL</t>
  </si>
  <si>
    <t>อะไหล่ CONSUMABLE PARTS สายพานมวนบุหรี่สำหรับใช้กับเครื่องมวนบุหรี่ PROTOS VE 100E</t>
  </si>
  <si>
    <t>210664อ/วศ.42</t>
  </si>
  <si>
    <t>อะไหล่สำหรับใช้กับเครนอัตโนมัติ STACKER CRANE จำนวน 9 รายการ</t>
  </si>
  <si>
    <t>210664อ/วศ.43</t>
  </si>
  <si>
    <t>อะไหล่สำหรับใช้กับกลุ่มเครื่องจักรผลิตบุหรี่ HAUNI จำนวน 17 รายการ</t>
  </si>
  <si>
    <t>210664อ/วศ.45</t>
  </si>
  <si>
    <t>0994000165200</t>
  </si>
  <si>
    <t>การไฟฟ้านครหลวง</t>
  </si>
  <si>
    <t>งานจ้างซ่อมแซมชุดดับเพลิง Deluge Valve สำหรับหม้อแปลง GIS 115 kV ภายในสถานีไฟฟ้าย่อย</t>
  </si>
  <si>
    <t>210264พ/วศ.25</t>
  </si>
  <si>
    <t xml:space="preserve">อาคารศูนย์พลังงาน(B-03) </t>
  </si>
  <si>
    <t xml:space="preserve">งานจ้างเหมาบำรุงรักษาอุปกรณ์จ่ายไฟ 115/22KV อาคารศูนย์พลังงาน(B-03) </t>
  </si>
  <si>
    <t>210264พ/วศ.26</t>
  </si>
  <si>
    <t>0105550014679</t>
  </si>
  <si>
    <t>บริษัท ดีเอบี เทคโนโลยี จำกัด</t>
  </si>
  <si>
    <t xml:space="preserve">จัดซื้ออะไหล่สำหรับใช้กับหุ่นยนต์จัดเรียงหีบบุหรี่สำเร็จรูปบนแป้นพาเลทอัตโนมัติ ROBOTIC </t>
  </si>
  <si>
    <t>210664อ/วศ.46</t>
  </si>
  <si>
    <t>CIGRETTE CASE PALLET</t>
  </si>
  <si>
    <t>0105533008348</t>
  </si>
  <si>
    <t>งานจ้างเหมาเปลี่ยนปั๊มน้ำของระบบ Air Washer ที่อาคาร B-02 การยาสูบแห่งประเทศไทย</t>
  </si>
  <si>
    <t>210264พ/วศ.28</t>
  </si>
  <si>
    <t>พระนครศรีอยุธยา</t>
  </si>
  <si>
    <t>บริษัท สหพีร์ เอ็นจิเนียริ่ง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</si>
</sst>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B1d\-mmm\-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ahoma"/>
      <family val="2"/>
      <charset val="222"/>
    </font>
    <font>
      <sz val="18"/>
      <color theme="1"/>
      <name val="TH SarabunPSK"/>
      <family val="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TH SarabunPSK"/>
      <family val="2"/>
    </font>
    <font>
      <u/>
      <sz val="18"/>
      <name val="TH SarabunPSK"/>
      <family val="2"/>
    </font>
    <font>
      <sz val="18"/>
      <color rgb="FF000000"/>
      <name val="TH SarabunPSK"/>
      <family val="2"/>
    </font>
    <font>
      <sz val="18"/>
      <color rgb="FF202124"/>
      <name val="TH SarabunPSK"/>
      <family val="2"/>
    </font>
    <font>
      <sz val="20"/>
      <color theme="1"/>
      <name val="TH SarabunPSK"/>
      <family val="2"/>
    </font>
    <font>
      <sz val="20"/>
      <color theme="1"/>
      <name val="Calibri"/>
      <family val="2"/>
      <scheme val="minor"/>
    </font>
    <font>
      <sz val="20"/>
      <name val="TH SarabunPSK"/>
      <family val="2"/>
    </font>
    <font>
      <sz val="10"/>
      <color theme="1"/>
      <name val="Arial Unicode MS"/>
      <family val="2"/>
    </font>
    <font>
      <sz val="22"/>
      <color theme="1"/>
      <name val="TH SarabunPSK"/>
      <family val="2"/>
    </font>
    <font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4" fillId="0" borderId="0" applyFont="0" applyFill="0" applyBorder="0" applyAlignment="0" applyProtection="0"/>
  </cellStyleXfs>
  <cellXfs count="478">
    <xf numFmtId="0" fontId="0" fillId="0" borderId="0" xfId="0"/>
    <xf numFmtId="4" fontId="3" fillId="0" borderId="0" xfId="0" applyNumberFormat="1" applyFont="1"/>
    <xf numFmtId="0" fontId="3" fillId="0" borderId="0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 applyBorder="1" applyAlignment="1">
      <alignment horizont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top" wrapText="1"/>
    </xf>
    <xf numFmtId="0" fontId="3" fillId="0" borderId="6" xfId="1" applyFont="1" applyBorder="1" applyAlignment="1">
      <alignment horizontal="center"/>
    </xf>
    <xf numFmtId="0" fontId="3" fillId="0" borderId="1" xfId="0" applyFont="1" applyBorder="1"/>
    <xf numFmtId="4" fontId="3" fillId="0" borderId="11" xfId="0" applyNumberFormat="1" applyFont="1" applyBorder="1"/>
    <xf numFmtId="0" fontId="3" fillId="0" borderId="1" xfId="1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3" xfId="1" applyFont="1" applyBorder="1"/>
    <xf numFmtId="0" fontId="3" fillId="0" borderId="3" xfId="0" applyFont="1" applyBorder="1"/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" xfId="1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2" borderId="1" xfId="1" quotePrefix="1" applyFont="1" applyFill="1" applyBorder="1" applyAlignment="1">
      <alignment horizontal="center" vertical="center" wrapText="1"/>
    </xf>
    <xf numFmtId="0" fontId="3" fillId="0" borderId="7" xfId="1" applyFont="1" applyBorder="1"/>
    <xf numFmtId="0" fontId="3" fillId="0" borderId="1" xfId="1" applyFont="1" applyBorder="1"/>
    <xf numFmtId="4" fontId="3" fillId="0" borderId="1" xfId="1" applyNumberFormat="1" applyFont="1" applyBorder="1"/>
    <xf numFmtId="0" fontId="3" fillId="0" borderId="7" xfId="1" applyFont="1" applyBorder="1" applyAlignment="1">
      <alignment horizontal="center"/>
    </xf>
    <xf numFmtId="0" fontId="3" fillId="0" borderId="9" xfId="1" applyFont="1" applyBorder="1"/>
    <xf numFmtId="0" fontId="3" fillId="0" borderId="9" xfId="1" applyFont="1" applyBorder="1" applyAlignment="1">
      <alignment horizontal="center"/>
    </xf>
    <xf numFmtId="0" fontId="3" fillId="2" borderId="10" xfId="2" quotePrefix="1" applyFont="1" applyFill="1" applyBorder="1" applyAlignment="1">
      <alignment horizontal="center" vertical="center"/>
    </xf>
    <xf numFmtId="0" fontId="3" fillId="2" borderId="1" xfId="2" quotePrefix="1" applyFont="1" applyFill="1" applyBorder="1" applyAlignment="1">
      <alignment horizontal="center" vertical="center"/>
    </xf>
    <xf numFmtId="0" fontId="3" fillId="2" borderId="1" xfId="1" quotePrefix="1" applyFont="1" applyFill="1" applyBorder="1" applyAlignment="1">
      <alignment horizontal="center"/>
    </xf>
    <xf numFmtId="2" fontId="3" fillId="0" borderId="1" xfId="1" applyNumberFormat="1" applyFont="1" applyBorder="1"/>
    <xf numFmtId="0" fontId="3" fillId="2" borderId="10" xfId="1" quotePrefix="1" applyFont="1" applyFill="1" applyBorder="1" applyAlignment="1">
      <alignment horizontal="center"/>
    </xf>
    <xf numFmtId="0" fontId="3" fillId="0" borderId="3" xfId="1" applyFont="1" applyBorder="1" applyAlignment="1"/>
    <xf numFmtId="0" fontId="3" fillId="0" borderId="9" xfId="1" applyFont="1" applyBorder="1" applyAlignment="1"/>
    <xf numFmtId="0" fontId="3" fillId="0" borderId="0" xfId="1" applyFont="1" applyBorder="1" applyAlignment="1">
      <alignment horizontal="center"/>
    </xf>
    <xf numFmtId="0" fontId="5" fillId="0" borderId="0" xfId="0" applyFont="1" applyBorder="1"/>
    <xf numFmtId="0" fontId="3" fillId="2" borderId="1" xfId="2" quotePrefix="1" applyFont="1" applyFill="1" applyBorder="1" applyAlignment="1">
      <alignment horizontal="center"/>
    </xf>
    <xf numFmtId="0" fontId="3" fillId="0" borderId="10" xfId="1" applyFont="1" applyBorder="1"/>
    <xf numFmtId="4" fontId="3" fillId="0" borderId="0" xfId="1" applyNumberFormat="1" applyFont="1"/>
    <xf numFmtId="0" fontId="3" fillId="0" borderId="0" xfId="1" applyFont="1" applyAlignment="1">
      <alignment horizontal="center"/>
    </xf>
    <xf numFmtId="0" fontId="3" fillId="0" borderId="11" xfId="1" applyFont="1" applyBorder="1"/>
    <xf numFmtId="0" fontId="3" fillId="0" borderId="11" xfId="1" applyFont="1" applyBorder="1" applyAlignment="1">
      <alignment horizontal="center"/>
    </xf>
    <xf numFmtId="0" fontId="3" fillId="0" borderId="12" xfId="1" applyFont="1" applyBorder="1"/>
    <xf numFmtId="4" fontId="3" fillId="0" borderId="11" xfId="1" applyNumberFormat="1" applyFont="1" applyBorder="1"/>
    <xf numFmtId="0" fontId="3" fillId="0" borderId="12" xfId="1" applyFont="1" applyBorder="1" applyAlignment="1">
      <alignment horizontal="center"/>
    </xf>
    <xf numFmtId="0" fontId="3" fillId="2" borderId="13" xfId="2" quotePrefix="1" applyFont="1" applyFill="1" applyBorder="1" applyAlignment="1">
      <alignment horizontal="center" vertical="center"/>
    </xf>
    <xf numFmtId="4" fontId="3" fillId="0" borderId="10" xfId="1" applyNumberFormat="1" applyFont="1" applyBorder="1"/>
    <xf numFmtId="0" fontId="3" fillId="0" borderId="10" xfId="1" quotePrefix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2" borderId="10" xfId="1" quotePrefix="1" applyFont="1" applyFill="1" applyBorder="1" applyAlignment="1">
      <alignment horizontal="center" vertical="center" wrapText="1"/>
    </xf>
    <xf numFmtId="0" fontId="3" fillId="0" borderId="13" xfId="1" applyFont="1" applyBorder="1"/>
    <xf numFmtId="0" fontId="3" fillId="0" borderId="8" xfId="1" applyFont="1" applyBorder="1"/>
    <xf numFmtId="0" fontId="3" fillId="2" borderId="6" xfId="1" quotePrefix="1" applyFont="1" applyFill="1" applyBorder="1" applyAlignment="1">
      <alignment horizontal="center"/>
    </xf>
    <xf numFmtId="0" fontId="3" fillId="0" borderId="0" xfId="1" applyFont="1"/>
    <xf numFmtId="0" fontId="3" fillId="0" borderId="6" xfId="1" quotePrefix="1" applyFont="1" applyBorder="1" applyAlignment="1">
      <alignment horizontal="center"/>
    </xf>
    <xf numFmtId="0" fontId="3" fillId="0" borderId="6" xfId="1" applyFont="1" applyBorder="1"/>
    <xf numFmtId="4" fontId="3" fillId="0" borderId="3" xfId="1" applyNumberFormat="1" applyFont="1" applyBorder="1"/>
    <xf numFmtId="0" fontId="3" fillId="2" borderId="6" xfId="2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1" xfId="0" applyFont="1" applyFill="1" applyBorder="1"/>
    <xf numFmtId="4" fontId="3" fillId="2" borderId="1" xfId="0" applyNumberFormat="1" applyFont="1" applyFill="1" applyBorder="1" applyAlignment="1"/>
    <xf numFmtId="164" fontId="3" fillId="2" borderId="11" xfId="0" quotePrefix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12" xfId="0" applyFont="1" applyFill="1" applyBorder="1"/>
    <xf numFmtId="0" fontId="3" fillId="2" borderId="3" xfId="0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 applyBorder="1"/>
    <xf numFmtId="4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3" fillId="2" borderId="10" xfId="0" applyFont="1" applyFill="1" applyBorder="1" applyAlignment="1"/>
    <xf numFmtId="0" fontId="3" fillId="2" borderId="0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/>
    <xf numFmtId="164" fontId="3" fillId="2" borderId="12" xfId="0" applyNumberFormat="1" applyFont="1" applyFill="1" applyBorder="1" applyAlignment="1">
      <alignment horizontal="center"/>
    </xf>
    <xf numFmtId="0" fontId="3" fillId="2" borderId="13" xfId="0" quotePrefix="1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vertical="center"/>
    </xf>
    <xf numFmtId="164" fontId="3" fillId="2" borderId="13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9" xfId="0" applyFont="1" applyFill="1" applyBorder="1"/>
    <xf numFmtId="0" fontId="3" fillId="2" borderId="0" xfId="0" applyFont="1" applyFill="1" applyBorder="1" applyAlignment="1"/>
    <xf numFmtId="0" fontId="3" fillId="2" borderId="6" xfId="0" quotePrefix="1" applyFont="1" applyFill="1" applyBorder="1" applyAlignment="1">
      <alignment horizontal="center"/>
    </xf>
    <xf numFmtId="1" fontId="3" fillId="2" borderId="1" xfId="0" quotePrefix="1" applyNumberFormat="1" applyFont="1" applyFill="1" applyBorder="1" applyAlignment="1">
      <alignment horizontal="center"/>
    </xf>
    <xf numFmtId="0" fontId="3" fillId="0" borderId="10" xfId="0" quotePrefix="1" applyFont="1" applyBorder="1" applyAlignment="1">
      <alignment horizontal="center" vertical="center"/>
    </xf>
    <xf numFmtId="0" fontId="8" fillId="0" borderId="11" xfId="0" applyFont="1" applyBorder="1"/>
    <xf numFmtId="0" fontId="8" fillId="0" borderId="1" xfId="0" applyFont="1" applyBorder="1"/>
    <xf numFmtId="4" fontId="8" fillId="0" borderId="11" xfId="0" applyNumberFormat="1" applyFont="1" applyBorder="1"/>
    <xf numFmtId="164" fontId="3" fillId="2" borderId="1" xfId="0" quotePrefix="1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3" fillId="2" borderId="12" xfId="0" applyFont="1" applyFill="1" applyBorder="1" applyAlignment="1"/>
    <xf numFmtId="0" fontId="3" fillId="0" borderId="1" xfId="0" quotePrefix="1" applyFont="1" applyBorder="1" applyAlignment="1">
      <alignment horizontal="center" vertical="center"/>
    </xf>
    <xf numFmtId="164" fontId="3" fillId="2" borderId="6" xfId="0" quotePrefix="1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/>
    <xf numFmtId="0" fontId="3" fillId="2" borderId="10" xfId="0" quotePrefix="1" applyFont="1" applyFill="1" applyBorder="1" applyAlignment="1">
      <alignment horizontal="center" vertical="center" wrapText="1"/>
    </xf>
    <xf numFmtId="0" fontId="3" fillId="2" borderId="13" xfId="0" applyFont="1" applyFill="1" applyBorder="1"/>
    <xf numFmtId="4" fontId="3" fillId="2" borderId="0" xfId="0" applyNumberFormat="1" applyFont="1" applyFill="1" applyBorder="1" applyAlignment="1"/>
    <xf numFmtId="0" fontId="3" fillId="2" borderId="6" xfId="0" applyFont="1" applyFill="1" applyBorder="1"/>
    <xf numFmtId="4" fontId="3" fillId="2" borderId="11" xfId="0" applyNumberFormat="1" applyFont="1" applyFill="1" applyBorder="1" applyAlignment="1"/>
    <xf numFmtId="0" fontId="3" fillId="2" borderId="8" xfId="0" applyFont="1" applyFill="1" applyBorder="1"/>
    <xf numFmtId="164" fontId="3" fillId="2" borderId="10" xfId="0" quotePrefix="1" applyNumberFormat="1" applyFont="1" applyFill="1" applyBorder="1" applyAlignment="1">
      <alignment horizontal="center"/>
    </xf>
    <xf numFmtId="0" fontId="3" fillId="2" borderId="13" xfId="2" quotePrefix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6" xfId="1" quotePrefix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3" fillId="2" borderId="6" xfId="2" quotePrefix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/>
    <xf numFmtId="0" fontId="3" fillId="0" borderId="10" xfId="0" quotePrefix="1" applyFont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3" fillId="2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2" borderId="3" xfId="0" applyFont="1" applyFill="1" applyBorder="1" applyAlignment="1">
      <alignment vertical="center"/>
    </xf>
    <xf numFmtId="0" fontId="9" fillId="0" borderId="1" xfId="0" quotePrefix="1" applyFont="1" applyBorder="1" applyAlignment="1">
      <alignment horizontal="center"/>
    </xf>
    <xf numFmtId="4" fontId="3" fillId="2" borderId="11" xfId="0" applyNumberFormat="1" applyFont="1" applyFill="1" applyBorder="1"/>
    <xf numFmtId="4" fontId="3" fillId="2" borderId="0" xfId="0" applyNumberFormat="1" applyFont="1" applyFill="1" applyBorder="1"/>
    <xf numFmtId="0" fontId="10" fillId="0" borderId="0" xfId="0" applyFont="1" applyBorder="1"/>
    <xf numFmtId="0" fontId="10" fillId="0" borderId="0" xfId="0" applyFont="1" applyBorder="1" applyAlignment="1"/>
    <xf numFmtId="0" fontId="11" fillId="0" borderId="0" xfId="0" applyFont="1"/>
    <xf numFmtId="0" fontId="10" fillId="0" borderId="0" xfId="0" applyFont="1"/>
    <xf numFmtId="0" fontId="10" fillId="0" borderId="0" xfId="0" applyFont="1" applyFill="1" applyBorder="1" applyAlignment="1"/>
    <xf numFmtId="0" fontId="12" fillId="0" borderId="0" xfId="0" applyFont="1" applyBorder="1" applyAlignment="1"/>
    <xf numFmtId="0" fontId="3" fillId="0" borderId="0" xfId="1" applyFont="1" applyBorder="1"/>
    <xf numFmtId="0" fontId="3" fillId="2" borderId="13" xfId="0" applyFont="1" applyFill="1" applyBorder="1" applyAlignment="1"/>
    <xf numFmtId="0" fontId="3" fillId="2" borderId="0" xfId="0" applyFont="1" applyFill="1"/>
    <xf numFmtId="4" fontId="3" fillId="0" borderId="1" xfId="0" applyNumberFormat="1" applyFont="1" applyBorder="1"/>
    <xf numFmtId="0" fontId="3" fillId="0" borderId="11" xfId="0" applyFont="1" applyBorder="1"/>
    <xf numFmtId="0" fontId="3" fillId="2" borderId="7" xfId="0" quotePrefix="1" applyFont="1" applyFill="1" applyBorder="1" applyAlignment="1">
      <alignment horizontal="center"/>
    </xf>
    <xf numFmtId="0" fontId="3" fillId="0" borderId="7" xfId="0" applyFont="1" applyBorder="1"/>
    <xf numFmtId="4" fontId="3" fillId="0" borderId="10" xfId="0" applyNumberFormat="1" applyFont="1" applyBorder="1"/>
    <xf numFmtId="164" fontId="3" fillId="2" borderId="0" xfId="0" quotePrefix="1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2" borderId="0" xfId="0" applyFont="1" applyFill="1" applyAlignment="1">
      <alignment horizontal="center"/>
    </xf>
    <xf numFmtId="2" fontId="3" fillId="0" borderId="1" xfId="0" applyNumberFormat="1" applyFont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/>
    <xf numFmtId="164" fontId="3" fillId="2" borderId="0" xfId="0" applyNumberFormat="1" applyFont="1" applyFill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/>
    <xf numFmtId="0" fontId="3" fillId="2" borderId="10" xfId="0" applyFont="1" applyFill="1" applyBorder="1" applyAlignment="1">
      <alignment horizontal="left" vertical="center"/>
    </xf>
    <xf numFmtId="4" fontId="3" fillId="0" borderId="1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/>
    <xf numFmtId="4" fontId="3" fillId="0" borderId="6" xfId="0" applyNumberFormat="1" applyFont="1" applyBorder="1"/>
    <xf numFmtId="4" fontId="3" fillId="0" borderId="13" xfId="0" applyNumberFormat="1" applyFont="1" applyBorder="1"/>
    <xf numFmtId="0" fontId="3" fillId="2" borderId="14" xfId="0" applyFont="1" applyFill="1" applyBorder="1" applyAlignment="1">
      <alignment horizontal="center"/>
    </xf>
    <xf numFmtId="0" fontId="3" fillId="0" borderId="6" xfId="0" applyFont="1" applyBorder="1" applyAlignment="1"/>
    <xf numFmtId="4" fontId="3" fillId="2" borderId="12" xfId="0" applyNumberFormat="1" applyFont="1" applyFill="1" applyBorder="1" applyAlignment="1"/>
    <xf numFmtId="164" fontId="3" fillId="2" borderId="3" xfId="0" applyNumberFormat="1" applyFont="1" applyFill="1" applyBorder="1" applyAlignment="1">
      <alignment horizontal="center"/>
    </xf>
    <xf numFmtId="0" fontId="3" fillId="2" borderId="1" xfId="1" quotePrefix="1" applyFont="1" applyFill="1" applyBorder="1" applyAlignment="1">
      <alignment horizontal="center" vertical="center"/>
    </xf>
    <xf numFmtId="0" fontId="3" fillId="0" borderId="6" xfId="0" applyFont="1" applyBorder="1"/>
    <xf numFmtId="0" fontId="3" fillId="2" borderId="7" xfId="0" applyFont="1" applyFill="1" applyBorder="1" applyAlignment="1">
      <alignment horizontal="center"/>
    </xf>
    <xf numFmtId="0" fontId="3" fillId="0" borderId="13" xfId="0" applyFont="1" applyBorder="1"/>
    <xf numFmtId="4" fontId="3" fillId="0" borderId="0" xfId="0" applyNumberFormat="1" applyFont="1" applyBorder="1"/>
    <xf numFmtId="0" fontId="3" fillId="0" borderId="14" xfId="0" applyFont="1" applyBorder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10" xfId="0" applyFont="1" applyBorder="1" applyAlignment="1"/>
    <xf numFmtId="0" fontId="3" fillId="2" borderId="10" xfId="0" quotePrefix="1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2" borderId="3" xfId="0" applyFont="1" applyFill="1" applyBorder="1" applyAlignment="1">
      <alignment wrapText="1"/>
    </xf>
    <xf numFmtId="0" fontId="3" fillId="0" borderId="6" xfId="0" quotePrefix="1" applyFont="1" applyFill="1" applyBorder="1" applyAlignment="1">
      <alignment horizontal="center" vertical="center" wrapText="1"/>
    </xf>
    <xf numFmtId="0" fontId="3" fillId="0" borderId="14" xfId="0" applyFont="1" applyBorder="1"/>
    <xf numFmtId="4" fontId="13" fillId="0" borderId="0" xfId="0" applyNumberFormat="1" applyFont="1" applyBorder="1"/>
    <xf numFmtId="0" fontId="3" fillId="2" borderId="9" xfId="0" applyFont="1" applyFill="1" applyBorder="1" applyAlignment="1">
      <alignment horizontal="left"/>
    </xf>
    <xf numFmtId="4" fontId="13" fillId="0" borderId="0" xfId="0" applyNumberFormat="1" applyFont="1" applyBorder="1" applyAlignment="1">
      <alignment vertical="center"/>
    </xf>
    <xf numFmtId="0" fontId="3" fillId="2" borderId="3" xfId="1" quotePrefix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4" fontId="3" fillId="2" borderId="0" xfId="0" applyNumberFormat="1" applyFont="1" applyFill="1"/>
    <xf numFmtId="0" fontId="3" fillId="0" borderId="6" xfId="0" quotePrefix="1" applyFont="1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/>
    </xf>
    <xf numFmtId="0" fontId="3" fillId="0" borderId="1" xfId="0" applyFont="1" applyBorder="1" applyAlignment="1">
      <alignment vertical="center"/>
    </xf>
    <xf numFmtId="0" fontId="3" fillId="2" borderId="10" xfId="0" applyFont="1" applyFill="1" applyBorder="1" applyAlignment="1">
      <alignment wrapText="1"/>
    </xf>
    <xf numFmtId="164" fontId="3" fillId="2" borderId="3" xfId="0" quotePrefix="1" applyNumberFormat="1" applyFont="1" applyFill="1" applyBorder="1" applyAlignment="1">
      <alignment horizontal="center"/>
    </xf>
    <xf numFmtId="4" fontId="3" fillId="0" borderId="7" xfId="0" applyNumberFormat="1" applyFont="1" applyBorder="1"/>
    <xf numFmtId="0" fontId="3" fillId="2" borderId="9" xfId="0" applyFont="1" applyFill="1" applyBorder="1" applyAlignment="1"/>
    <xf numFmtId="43" fontId="3" fillId="2" borderId="0" xfId="3" applyFont="1" applyFill="1" applyBorder="1" applyAlignment="1"/>
    <xf numFmtId="43" fontId="3" fillId="2" borderId="11" xfId="3" applyFont="1" applyFill="1" applyBorder="1" applyAlignment="1"/>
    <xf numFmtId="0" fontId="3" fillId="2" borderId="7" xfId="1" quotePrefix="1" applyFont="1" applyFill="1" applyBorder="1" applyAlignment="1">
      <alignment horizontal="center" vertical="center" wrapText="1"/>
    </xf>
    <xf numFmtId="0" fontId="3" fillId="2" borderId="7" xfId="2" quotePrefix="1" applyFont="1" applyFill="1" applyBorder="1" applyAlignment="1">
      <alignment horizontal="center" vertical="center"/>
    </xf>
    <xf numFmtId="0" fontId="3" fillId="0" borderId="11" xfId="0" applyFont="1" applyBorder="1" applyAlignment="1"/>
    <xf numFmtId="4" fontId="3" fillId="0" borderId="15" xfId="0" applyNumberFormat="1" applyFont="1" applyBorder="1"/>
    <xf numFmtId="0" fontId="14" fillId="0" borderId="0" xfId="0" applyFont="1" applyBorder="1" applyAlignment="1"/>
    <xf numFmtId="0" fontId="14" fillId="0" borderId="0" xfId="0" applyFont="1" applyFill="1" applyBorder="1" applyAlignment="1"/>
    <xf numFmtId="0" fontId="15" fillId="0" borderId="0" xfId="0" applyFont="1" applyBorder="1" applyAlignment="1"/>
    <xf numFmtId="1" fontId="3" fillId="2" borderId="10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0" borderId="0" xfId="0" applyNumberFormat="1" applyFont="1"/>
    <xf numFmtId="164" fontId="3" fillId="2" borderId="10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" fontId="3" fillId="0" borderId="14" xfId="0" applyNumberFormat="1" applyFont="1" applyBorder="1"/>
    <xf numFmtId="0" fontId="3" fillId="2" borderId="8" xfId="1" quotePrefix="1" applyFont="1" applyFill="1" applyBorder="1" applyAlignment="1">
      <alignment horizontal="center" vertical="center" wrapText="1"/>
    </xf>
    <xf numFmtId="0" fontId="3" fillId="2" borderId="13" xfId="1" quotePrefix="1" applyFont="1" applyFill="1" applyBorder="1" applyAlignment="1">
      <alignment horizontal="center" vertical="center" wrapText="1"/>
    </xf>
    <xf numFmtId="0" fontId="3" fillId="2" borderId="8" xfId="1" quotePrefix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2" borderId="10" xfId="0" quotePrefix="1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7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center"/>
    </xf>
    <xf numFmtId="0" fontId="3" fillId="2" borderId="3" xfId="1" quotePrefix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wrapText="1"/>
    </xf>
    <xf numFmtId="4" fontId="3" fillId="2" borderId="3" xfId="0" applyNumberFormat="1" applyFont="1" applyFill="1" applyBorder="1"/>
    <xf numFmtId="4" fontId="3" fillId="2" borderId="10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/>
    <xf numFmtId="4" fontId="3" fillId="2" borderId="12" xfId="0" applyNumberFormat="1" applyFont="1" applyFill="1" applyBorder="1"/>
    <xf numFmtId="4" fontId="3" fillId="0" borderId="10" xfId="0" applyNumberFormat="1" applyFont="1" applyBorder="1" applyAlignment="1">
      <alignment vertic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3" fillId="2" borderId="12" xfId="0" applyFont="1" applyFill="1" applyBorder="1" applyAlignment="1">
      <alignment wrapText="1"/>
    </xf>
    <xf numFmtId="0" fontId="3" fillId="0" borderId="0" xfId="0" applyFont="1" applyAlignment="1">
      <alignment wrapText="1"/>
    </xf>
    <xf numFmtId="2" fontId="3" fillId="0" borderId="10" xfId="0" applyNumberFormat="1" applyFont="1" applyBorder="1"/>
    <xf numFmtId="0" fontId="3" fillId="2" borderId="6" xfId="0" quotePrefix="1" applyFont="1" applyFill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2" fontId="3" fillId="0" borderId="0" xfId="0" applyNumberFormat="1" applyFont="1" applyBorder="1"/>
    <xf numFmtId="0" fontId="3" fillId="2" borderId="14" xfId="0" applyFont="1" applyFill="1" applyBorder="1" applyAlignment="1"/>
    <xf numFmtId="0" fontId="3" fillId="2" borderId="13" xfId="0" applyFont="1" applyFill="1" applyBorder="1" applyAlignment="1">
      <alignment horizontal="left"/>
    </xf>
    <xf numFmtId="0" fontId="3" fillId="2" borderId="8" xfId="0" applyFont="1" applyFill="1" applyBorder="1" applyAlignment="1">
      <alignment wrapText="1"/>
    </xf>
    <xf numFmtId="0" fontId="3" fillId="2" borderId="0" xfId="0" quotePrefix="1" applyFont="1" applyFill="1" applyBorder="1" applyAlignment="1">
      <alignment horizontal="center"/>
    </xf>
    <xf numFmtId="43" fontId="3" fillId="2" borderId="10" xfId="3" applyFont="1" applyFill="1" applyBorder="1" applyAlignment="1"/>
    <xf numFmtId="0" fontId="3" fillId="2" borderId="11" xfId="0" applyFont="1" applyFill="1" applyBorder="1" applyAlignment="1">
      <alignment horizontal="left" vertical="center"/>
    </xf>
    <xf numFmtId="43" fontId="3" fillId="2" borderId="1" xfId="3" applyFont="1" applyFill="1" applyBorder="1" applyAlignment="1"/>
    <xf numFmtId="0" fontId="3" fillId="2" borderId="11" xfId="0" quotePrefix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164" fontId="3" fillId="2" borderId="11" xfId="0" quotePrefix="1" applyNumberFormat="1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vertical="top"/>
    </xf>
    <xf numFmtId="0" fontId="3" fillId="0" borderId="12" xfId="0" applyFont="1" applyBorder="1" applyAlignment="1"/>
    <xf numFmtId="164" fontId="3" fillId="2" borderId="12" xfId="0" quotePrefix="1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vertical="top"/>
    </xf>
    <xf numFmtId="4" fontId="3" fillId="0" borderId="1" xfId="0" applyNumberFormat="1" applyFont="1" applyBorder="1" applyAlignment="1">
      <alignment vertical="top" wrapText="1"/>
    </xf>
    <xf numFmtId="4" fontId="3" fillId="0" borderId="3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2" borderId="10" xfId="2" quotePrefix="1" applyFont="1" applyFill="1" applyBorder="1" applyAlignment="1">
      <alignment horizontal="center"/>
    </xf>
    <xf numFmtId="0" fontId="3" fillId="2" borderId="6" xfId="1" quotePrefix="1" applyFont="1" applyFill="1" applyBorder="1" applyAlignment="1">
      <alignment horizontal="center" vertical="center"/>
    </xf>
    <xf numFmtId="0" fontId="3" fillId="2" borderId="13" xfId="1" quotePrefix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/>
    <xf numFmtId="2" fontId="3" fillId="0" borderId="11" xfId="0" applyNumberFormat="1" applyFont="1" applyBorder="1"/>
    <xf numFmtId="4" fontId="3" fillId="2" borderId="9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3" xfId="0" applyNumberFormat="1" applyFont="1" applyBorder="1"/>
    <xf numFmtId="0" fontId="3" fillId="2" borderId="3" xfId="1" quotePrefix="1" applyFont="1" applyFill="1" applyBorder="1" applyAlignment="1">
      <alignment horizontal="center"/>
    </xf>
    <xf numFmtId="4" fontId="3" fillId="2" borderId="9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2" borderId="0" xfId="1" quotePrefix="1" applyFont="1" applyFill="1" applyBorder="1" applyAlignment="1">
      <alignment horizontal="center" vertical="center"/>
    </xf>
    <xf numFmtId="43" fontId="3" fillId="0" borderId="15" xfId="3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3" fillId="0" borderId="3" xfId="0" applyFont="1" applyBorder="1" applyAlignment="1"/>
    <xf numFmtId="0" fontId="6" fillId="2" borderId="1" xfId="1" quotePrefix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0" xfId="0" quotePrefix="1" applyFont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2" borderId="1" xfId="2" quotePrefix="1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4" xfId="0" applyFont="1" applyBorder="1" applyAlignment="1"/>
    <xf numFmtId="4" fontId="3" fillId="0" borderId="0" xfId="0" applyNumberFormat="1" applyFont="1" applyAlignment="1"/>
    <xf numFmtId="0" fontId="3" fillId="2" borderId="10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4" fontId="3" fillId="0" borderId="0" xfId="0" applyNumberFormat="1" applyFont="1" applyAlignment="1">
      <alignment horizont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6" xfId="1" quotePrefix="1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3" fillId="0" borderId="1" xfId="0" applyFont="1" applyFill="1" applyBorder="1" applyAlignment="1"/>
    <xf numFmtId="4" fontId="3" fillId="0" borderId="1" xfId="0" applyNumberFormat="1" applyFont="1" applyFill="1" applyBorder="1"/>
    <xf numFmtId="164" fontId="3" fillId="0" borderId="1" xfId="0" quotePrefix="1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3" fillId="0" borderId="6" xfId="2" quotePrefix="1" applyFont="1" applyFill="1" applyBorder="1" applyAlignment="1">
      <alignment horizontal="center" vertical="center"/>
    </xf>
    <xf numFmtId="0" fontId="3" fillId="0" borderId="13" xfId="0" applyFont="1" applyFill="1" applyBorder="1"/>
    <xf numFmtId="0" fontId="3" fillId="0" borderId="10" xfId="0" applyFont="1" applyFill="1" applyBorder="1"/>
    <xf numFmtId="4" fontId="3" fillId="0" borderId="10" xfId="0" applyNumberFormat="1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/>
    <xf numFmtId="0" fontId="3" fillId="0" borderId="6" xfId="1" quotePrefix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0" xfId="0" applyFont="1" applyFill="1" applyBorder="1" applyAlignment="1"/>
    <xf numFmtId="0" fontId="3" fillId="0" borderId="1" xfId="0" applyFont="1" applyFill="1" applyBorder="1"/>
    <xf numFmtId="0" fontId="3" fillId="0" borderId="3" xfId="0" applyFont="1" applyFill="1" applyBorder="1"/>
    <xf numFmtId="0" fontId="3" fillId="0" borderId="10" xfId="0" applyFont="1" applyFill="1" applyBorder="1" applyAlignment="1">
      <alignment vertical="center"/>
    </xf>
    <xf numFmtId="0" fontId="3" fillId="0" borderId="0" xfId="0" quotePrefix="1" applyFont="1" applyFill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10" xfId="0" quotePrefix="1" applyNumberFormat="1" applyFont="1" applyFill="1" applyBorder="1" applyAlignment="1">
      <alignment horizontal="center"/>
    </xf>
    <xf numFmtId="0" fontId="3" fillId="0" borderId="13" xfId="1" quotePrefix="1" applyFont="1" applyFill="1" applyBorder="1" applyAlignment="1">
      <alignment horizontal="center" vertical="center" wrapText="1"/>
    </xf>
    <xf numFmtId="0" fontId="3" fillId="0" borderId="10" xfId="0" quotePrefix="1" applyFont="1" applyFill="1" applyBorder="1" applyAlignment="1">
      <alignment horizontal="center"/>
    </xf>
    <xf numFmtId="0" fontId="3" fillId="0" borderId="6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3" fillId="0" borderId="10" xfId="1" quotePrefix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0" fontId="3" fillId="0" borderId="9" xfId="0" applyFont="1" applyFill="1" applyBorder="1" applyAlignment="1"/>
    <xf numFmtId="0" fontId="3" fillId="0" borderId="1" xfId="1" quotePrefix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" xfId="1" quotePrefix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4" xfId="0" applyFont="1" applyFill="1" applyBorder="1" applyAlignment="1"/>
    <xf numFmtId="4" fontId="3" fillId="0" borderId="11" xfId="0" applyNumberFormat="1" applyFont="1" applyFill="1" applyBorder="1"/>
    <xf numFmtId="4" fontId="3" fillId="0" borderId="9" xfId="0" applyNumberFormat="1" applyFont="1" applyFill="1" applyBorder="1" applyAlignment="1"/>
    <xf numFmtId="2" fontId="3" fillId="0" borderId="0" xfId="0" applyNumberFormat="1" applyFont="1" applyFill="1"/>
    <xf numFmtId="0" fontId="3" fillId="0" borderId="6" xfId="0" applyFont="1" applyFill="1" applyBorder="1" applyAlignment="1">
      <alignment horizontal="center"/>
    </xf>
    <xf numFmtId="0" fontId="3" fillId="0" borderId="1" xfId="2" quotePrefix="1" applyFont="1" applyFill="1" applyBorder="1" applyAlignment="1">
      <alignment horizontal="center"/>
    </xf>
    <xf numFmtId="4" fontId="3" fillId="0" borderId="6" xfId="0" applyNumberFormat="1" applyFont="1" applyFill="1" applyBorder="1"/>
    <xf numFmtId="0" fontId="3" fillId="0" borderId="11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9" xfId="0" applyFont="1" applyFill="1" applyBorder="1"/>
    <xf numFmtId="0" fontId="3" fillId="0" borderId="14" xfId="0" applyFont="1" applyFill="1" applyBorder="1"/>
    <xf numFmtId="4" fontId="3" fillId="0" borderId="14" xfId="0" applyNumberFormat="1" applyFont="1" applyFill="1" applyBorder="1" applyAlignment="1"/>
    <xf numFmtId="164" fontId="3" fillId="0" borderId="10" xfId="0" applyNumberFormat="1" applyFont="1" applyFill="1" applyBorder="1" applyAlignment="1">
      <alignment horizontal="center"/>
    </xf>
    <xf numFmtId="0" fontId="3" fillId="0" borderId="1" xfId="2" quotePrefix="1" applyFont="1" applyFill="1" applyBorder="1" applyAlignment="1">
      <alignment horizontal="center" vertical="center"/>
    </xf>
    <xf numFmtId="4" fontId="3" fillId="0" borderId="9" xfId="0" applyNumberFormat="1" applyFont="1" applyFill="1" applyBorder="1"/>
    <xf numFmtId="0" fontId="3" fillId="0" borderId="0" xfId="0" applyFont="1" applyFill="1" applyAlignment="1"/>
    <xf numFmtId="4" fontId="3" fillId="0" borderId="0" xfId="0" applyNumberFormat="1" applyFont="1" applyFill="1" applyAlignment="1"/>
    <xf numFmtId="164" fontId="3" fillId="0" borderId="3" xfId="0" applyNumberFormat="1" applyFont="1" applyFill="1" applyBorder="1" applyAlignment="1"/>
    <xf numFmtId="0" fontId="3" fillId="0" borderId="12" xfId="0" applyFont="1" applyFill="1" applyBorder="1" applyAlignment="1"/>
    <xf numFmtId="0" fontId="3" fillId="0" borderId="3" xfId="0" applyFont="1" applyFill="1" applyBorder="1" applyAlignment="1">
      <alignment vertical="center"/>
    </xf>
    <xf numFmtId="164" fontId="3" fillId="0" borderId="3" xfId="0" quotePrefix="1" applyNumberFormat="1" applyFont="1" applyFill="1" applyBorder="1" applyAlignment="1">
      <alignment horizontal="center"/>
    </xf>
    <xf numFmtId="0" fontId="3" fillId="0" borderId="11" xfId="0" applyFont="1" applyFill="1" applyBorder="1" applyAlignment="1"/>
    <xf numFmtId="4" fontId="3" fillId="0" borderId="11" xfId="0" applyNumberFormat="1" applyFont="1" applyFill="1" applyBorder="1" applyAlignment="1"/>
    <xf numFmtId="0" fontId="3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/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4" fontId="3" fillId="0" borderId="3" xfId="0" applyNumberFormat="1" applyFont="1" applyFill="1" applyBorder="1"/>
    <xf numFmtId="0" fontId="3" fillId="0" borderId="13" xfId="0" quotePrefix="1" applyFont="1" applyFill="1" applyBorder="1" applyAlignment="1">
      <alignment horizontal="center"/>
    </xf>
    <xf numFmtId="4" fontId="3" fillId="0" borderId="0" xfId="0" applyNumberFormat="1" applyFont="1" applyFill="1" applyBorder="1"/>
    <xf numFmtId="0" fontId="3" fillId="0" borderId="3" xfId="1" quotePrefix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/>
    </xf>
    <xf numFmtId="0" fontId="3" fillId="0" borderId="3" xfId="1" quotePrefix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0" xfId="0" applyFont="1" applyFill="1" applyBorder="1" applyAlignment="1">
      <alignment wrapText="1"/>
    </xf>
    <xf numFmtId="0" fontId="3" fillId="0" borderId="3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/>
    </xf>
    <xf numFmtId="4" fontId="3" fillId="0" borderId="7" xfId="0" applyNumberFormat="1" applyFont="1" applyFill="1" applyBorder="1"/>
    <xf numFmtId="0" fontId="3" fillId="0" borderId="6" xfId="0" applyFont="1" applyFill="1" applyBorder="1" applyAlignment="1"/>
    <xf numFmtId="0" fontId="3" fillId="0" borderId="8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0" borderId="12" xfId="0" applyNumberFormat="1" applyFont="1" applyFill="1" applyBorder="1"/>
    <xf numFmtId="4" fontId="3" fillId="0" borderId="14" xfId="0" applyNumberFormat="1" applyFont="1" applyFill="1" applyBorder="1"/>
    <xf numFmtId="0" fontId="3" fillId="0" borderId="8" xfId="0" quotePrefix="1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3" fillId="0" borderId="6" xfId="0" applyFont="1" applyFill="1" applyBorder="1" applyAlignment="1">
      <alignment vertical="center"/>
    </xf>
    <xf numFmtId="4" fontId="3" fillId="0" borderId="1" xfId="0" applyNumberFormat="1" applyFont="1" applyFill="1" applyBorder="1" applyAlignment="1"/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4" fontId="3" fillId="0" borderId="10" xfId="0" applyNumberFormat="1" applyFont="1" applyFill="1" applyBorder="1" applyAlignment="1"/>
    <xf numFmtId="43" fontId="3" fillId="0" borderId="1" xfId="3" applyFont="1" applyFill="1" applyBorder="1" applyAlignment="1"/>
    <xf numFmtId="0" fontId="3" fillId="0" borderId="9" xfId="0" applyFont="1" applyFill="1" applyBorder="1" applyAlignment="1">
      <alignment horizontal="left"/>
    </xf>
    <xf numFmtId="43" fontId="3" fillId="2" borderId="0" xfId="3" applyFont="1" applyFill="1"/>
    <xf numFmtId="4" fontId="3" fillId="2" borderId="15" xfId="0" applyNumberFormat="1" applyFont="1" applyFill="1" applyBorder="1" applyAlignment="1"/>
  </cellXfs>
  <cellStyles count="4">
    <cellStyle name="Comma" xfId="3" builtinId="3"/>
    <cellStyle name="Normal" xfId="0" builtinId="0"/>
    <cellStyle name="Normal 2" xfId="1"/>
    <cellStyle name="Normal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7"/>
  <sheetViews>
    <sheetView topLeftCell="A363" workbookViewId="0">
      <selection activeCell="C16" sqref="C16"/>
    </sheetView>
  </sheetViews>
  <sheetFormatPr defaultRowHeight="23.25"/>
  <cols>
    <col min="1" max="1" width="9.28515625" style="3" customWidth="1"/>
    <col min="2" max="2" width="19.5703125" style="3" customWidth="1"/>
    <col min="3" max="3" width="45.7109375" style="3" customWidth="1"/>
    <col min="4" max="4" width="87.140625" style="3" customWidth="1"/>
    <col min="5" max="5" width="21.28515625" style="3" customWidth="1"/>
    <col min="6" max="6" width="21.42578125" style="3" customWidth="1"/>
    <col min="7" max="7" width="18.28515625" style="3" customWidth="1"/>
    <col min="8" max="8" width="10.7109375" style="3" customWidth="1"/>
    <col min="9" max="9" width="40.7109375" style="3" customWidth="1"/>
    <col min="10" max="16384" width="9.140625" style="3"/>
  </cols>
  <sheetData>
    <row r="1" spans="1:9" s="144" customFormat="1" ht="33">
      <c r="A1" s="142"/>
      <c r="B1" s="213" t="s">
        <v>890</v>
      </c>
      <c r="C1" s="213"/>
      <c r="D1" s="213"/>
      <c r="E1" s="213"/>
      <c r="F1" s="213"/>
      <c r="G1" s="213"/>
      <c r="H1" s="213"/>
      <c r="I1" s="143"/>
    </row>
    <row r="2" spans="1:9" s="144" customFormat="1" ht="33">
      <c r="A2" s="145"/>
      <c r="B2" s="214" t="s">
        <v>891</v>
      </c>
      <c r="C2" s="214"/>
      <c r="D2" s="214"/>
      <c r="E2" s="214"/>
      <c r="F2" s="214"/>
      <c r="G2" s="214"/>
      <c r="H2" s="214"/>
      <c r="I2" s="146"/>
    </row>
    <row r="3" spans="1:9" s="144" customFormat="1" ht="33">
      <c r="A3" s="145"/>
      <c r="B3" s="215" t="s">
        <v>892</v>
      </c>
      <c r="C3" s="215"/>
      <c r="D3" s="215"/>
      <c r="E3" s="215"/>
      <c r="F3" s="215"/>
      <c r="G3" s="215"/>
      <c r="H3" s="215"/>
      <c r="I3" s="147"/>
    </row>
    <row r="4" spans="1:9" ht="29.25" customHeight="1">
      <c r="A4" s="330" t="s">
        <v>561</v>
      </c>
      <c r="B4" s="332" t="s">
        <v>0</v>
      </c>
      <c r="C4" s="329" t="s">
        <v>1</v>
      </c>
      <c r="D4" s="329" t="s">
        <v>2</v>
      </c>
      <c r="E4" s="329" t="s">
        <v>3</v>
      </c>
      <c r="F4" s="329" t="s">
        <v>4</v>
      </c>
      <c r="G4" s="329"/>
      <c r="H4" s="330" t="s">
        <v>5</v>
      </c>
      <c r="I4" s="5"/>
    </row>
    <row r="5" spans="1:9" ht="55.5" customHeight="1">
      <c r="A5" s="331"/>
      <c r="B5" s="333"/>
      <c r="C5" s="329"/>
      <c r="D5" s="329"/>
      <c r="E5" s="329"/>
      <c r="F5" s="6" t="s">
        <v>6</v>
      </c>
      <c r="G5" s="6" t="s">
        <v>7</v>
      </c>
      <c r="H5" s="331"/>
    </row>
    <row r="6" spans="1:9" ht="27.75">
      <c r="A6" s="334" t="s">
        <v>8</v>
      </c>
      <c r="B6" s="335"/>
      <c r="C6" s="6"/>
      <c r="D6" s="7"/>
      <c r="E6" s="6"/>
      <c r="F6" s="6"/>
      <c r="G6" s="7"/>
      <c r="H6" s="8"/>
    </row>
    <row r="7" spans="1:9" ht="27.75">
      <c r="A7" s="9">
        <v>1</v>
      </c>
      <c r="B7" s="216" t="s">
        <v>94</v>
      </c>
      <c r="C7" s="10" t="s">
        <v>95</v>
      </c>
      <c r="D7" s="10" t="s">
        <v>96</v>
      </c>
      <c r="E7" s="11">
        <v>465450</v>
      </c>
      <c r="F7" s="12" t="s">
        <v>97</v>
      </c>
      <c r="G7" s="13" t="s">
        <v>98</v>
      </c>
      <c r="H7" s="14">
        <v>1</v>
      </c>
    </row>
    <row r="8" spans="1:9" ht="27.75">
      <c r="A8" s="15"/>
      <c r="B8" s="16"/>
      <c r="C8" s="17"/>
      <c r="D8" s="17" t="s">
        <v>99</v>
      </c>
      <c r="E8" s="18"/>
      <c r="F8" s="16"/>
      <c r="G8" s="19"/>
      <c r="H8" s="20"/>
    </row>
    <row r="9" spans="1:9" ht="27.75">
      <c r="A9" s="9">
        <v>2</v>
      </c>
      <c r="B9" s="21" t="s">
        <v>100</v>
      </c>
      <c r="C9" s="10" t="s">
        <v>101</v>
      </c>
      <c r="D9" s="10" t="s">
        <v>102</v>
      </c>
      <c r="E9" s="11">
        <v>200625</v>
      </c>
      <c r="F9" s="12" t="s">
        <v>97</v>
      </c>
      <c r="G9" s="13" t="s">
        <v>103</v>
      </c>
      <c r="H9" s="14">
        <v>1</v>
      </c>
    </row>
    <row r="10" spans="1:9" ht="27.75">
      <c r="A10" s="15"/>
      <c r="B10" s="16"/>
      <c r="C10" s="17"/>
      <c r="D10" s="17" t="s">
        <v>559</v>
      </c>
      <c r="E10" s="18"/>
      <c r="F10" s="16"/>
      <c r="G10" s="19"/>
      <c r="H10" s="16"/>
    </row>
    <row r="11" spans="1:9" ht="27.75">
      <c r="A11" s="9">
        <v>3</v>
      </c>
      <c r="B11" s="22" t="s">
        <v>104</v>
      </c>
      <c r="C11" s="10" t="s">
        <v>105</v>
      </c>
      <c r="D11" s="10" t="s">
        <v>106</v>
      </c>
      <c r="E11" s="11">
        <v>348221.87</v>
      </c>
      <c r="F11" s="12" t="s">
        <v>97</v>
      </c>
      <c r="G11" s="13" t="s">
        <v>107</v>
      </c>
      <c r="H11" s="14">
        <v>1</v>
      </c>
    </row>
    <row r="12" spans="1:9" ht="27.75">
      <c r="A12" s="15"/>
      <c r="B12" s="16"/>
      <c r="C12" s="17"/>
      <c r="D12" s="17" t="s">
        <v>108</v>
      </c>
      <c r="E12" s="18"/>
      <c r="F12" s="16"/>
      <c r="G12" s="19"/>
      <c r="H12" s="23"/>
    </row>
    <row r="13" spans="1:9" ht="27.75">
      <c r="A13" s="9">
        <v>4</v>
      </c>
      <c r="B13" s="24" t="s">
        <v>109</v>
      </c>
      <c r="C13" s="10" t="s">
        <v>110</v>
      </c>
      <c r="D13" s="10" t="s">
        <v>111</v>
      </c>
      <c r="E13" s="11">
        <v>962786</v>
      </c>
      <c r="F13" s="12" t="s">
        <v>97</v>
      </c>
      <c r="G13" s="13" t="s">
        <v>112</v>
      </c>
      <c r="H13" s="14">
        <v>1</v>
      </c>
    </row>
    <row r="14" spans="1:9" ht="27.75">
      <c r="A14" s="15"/>
      <c r="B14" s="16"/>
      <c r="C14" s="17" t="s">
        <v>113</v>
      </c>
      <c r="D14" s="17" t="s">
        <v>114</v>
      </c>
      <c r="E14" s="18"/>
      <c r="F14" s="16"/>
      <c r="G14" s="19"/>
      <c r="H14" s="16"/>
    </row>
    <row r="15" spans="1:9" ht="27.75">
      <c r="A15" s="9">
        <v>5</v>
      </c>
      <c r="B15" s="22" t="s">
        <v>115</v>
      </c>
      <c r="C15" s="10" t="s">
        <v>116</v>
      </c>
      <c r="D15" s="10" t="s">
        <v>117</v>
      </c>
      <c r="E15" s="11">
        <v>259282.4</v>
      </c>
      <c r="F15" s="12" t="s">
        <v>118</v>
      </c>
      <c r="G15" s="13" t="s">
        <v>119</v>
      </c>
      <c r="H15" s="14">
        <v>1</v>
      </c>
    </row>
    <row r="16" spans="1:9" ht="27.75">
      <c r="A16" s="15"/>
      <c r="B16" s="16"/>
      <c r="C16" s="17"/>
      <c r="D16" s="17" t="s">
        <v>120</v>
      </c>
      <c r="E16" s="18"/>
      <c r="F16" s="16"/>
      <c r="G16" s="19"/>
      <c r="H16" s="20"/>
    </row>
    <row r="17" spans="1:9" ht="27.75">
      <c r="A17" s="9">
        <v>6</v>
      </c>
      <c r="B17" s="21" t="s">
        <v>100</v>
      </c>
      <c r="C17" s="10" t="s">
        <v>101</v>
      </c>
      <c r="D17" s="10" t="s">
        <v>121</v>
      </c>
      <c r="E17" s="11">
        <v>1646088</v>
      </c>
      <c r="F17" s="12" t="s">
        <v>118</v>
      </c>
      <c r="G17" s="13" t="s">
        <v>122</v>
      </c>
      <c r="H17" s="14">
        <v>1</v>
      </c>
    </row>
    <row r="18" spans="1:9" ht="27.75">
      <c r="A18" s="15"/>
      <c r="B18" s="16"/>
      <c r="C18" s="17"/>
      <c r="D18" s="17" t="s">
        <v>123</v>
      </c>
      <c r="E18" s="18"/>
      <c r="F18" s="16"/>
      <c r="G18" s="19"/>
      <c r="H18" s="16"/>
    </row>
    <row r="19" spans="1:9" ht="27.75">
      <c r="A19" s="9">
        <v>7</v>
      </c>
      <c r="B19" s="25" t="s">
        <v>124</v>
      </c>
      <c r="C19" s="10" t="s">
        <v>125</v>
      </c>
      <c r="D19" s="10" t="s">
        <v>106</v>
      </c>
      <c r="E19" s="11">
        <v>290162.59999999998</v>
      </c>
      <c r="F19" s="12" t="s">
        <v>118</v>
      </c>
      <c r="G19" s="13" t="s">
        <v>126</v>
      </c>
      <c r="H19" s="14">
        <v>1</v>
      </c>
    </row>
    <row r="20" spans="1:9" ht="27.75">
      <c r="A20" s="15"/>
      <c r="B20" s="16"/>
      <c r="C20" s="17"/>
      <c r="D20" s="17" t="s">
        <v>127</v>
      </c>
      <c r="E20" s="18"/>
      <c r="F20" s="16"/>
      <c r="G20" s="19"/>
      <c r="H20" s="20"/>
    </row>
    <row r="21" spans="1:9" ht="27.75">
      <c r="A21" s="9">
        <v>8</v>
      </c>
      <c r="B21" s="21" t="s">
        <v>100</v>
      </c>
      <c r="C21" s="10" t="s">
        <v>101</v>
      </c>
      <c r="D21" s="10" t="s">
        <v>102</v>
      </c>
      <c r="E21" s="11">
        <v>1254040</v>
      </c>
      <c r="F21" s="12" t="s">
        <v>118</v>
      </c>
      <c r="G21" s="26" t="s">
        <v>128</v>
      </c>
      <c r="H21" s="14">
        <v>1</v>
      </c>
    </row>
    <row r="22" spans="1:9" ht="27.75">
      <c r="A22" s="15"/>
      <c r="B22" s="16"/>
      <c r="C22" s="17"/>
      <c r="D22" s="17" t="s">
        <v>123</v>
      </c>
      <c r="E22" s="18"/>
      <c r="F22" s="16"/>
      <c r="G22" s="27"/>
      <c r="H22" s="16"/>
    </row>
    <row r="23" spans="1:9" ht="27.75">
      <c r="A23" s="9">
        <v>9</v>
      </c>
      <c r="B23" s="21" t="s">
        <v>100</v>
      </c>
      <c r="C23" s="10" t="s">
        <v>101</v>
      </c>
      <c r="D23" s="10" t="s">
        <v>121</v>
      </c>
      <c r="E23" s="11">
        <v>301526</v>
      </c>
      <c r="F23" s="12" t="s">
        <v>118</v>
      </c>
      <c r="G23" s="26" t="s">
        <v>129</v>
      </c>
      <c r="H23" s="14">
        <v>1</v>
      </c>
    </row>
    <row r="24" spans="1:9" ht="27.75">
      <c r="A24" s="15"/>
      <c r="B24" s="16"/>
      <c r="C24" s="17"/>
      <c r="D24" s="17" t="s">
        <v>130</v>
      </c>
      <c r="E24" s="18"/>
      <c r="F24" s="16"/>
      <c r="G24" s="27"/>
      <c r="H24" s="16"/>
    </row>
    <row r="25" spans="1:9" ht="27.75">
      <c r="A25" s="9">
        <v>10</v>
      </c>
      <c r="B25" s="28" t="s">
        <v>9</v>
      </c>
      <c r="C25" s="29" t="s">
        <v>10</v>
      </c>
      <c r="D25" s="30" t="s">
        <v>11</v>
      </c>
      <c r="E25" s="31">
        <f>4500*1.07</f>
        <v>4815</v>
      </c>
      <c r="F25" s="12" t="s">
        <v>12</v>
      </c>
      <c r="G25" s="32" t="s">
        <v>13</v>
      </c>
      <c r="H25" s="14">
        <v>1</v>
      </c>
    </row>
    <row r="26" spans="1:9" ht="27.75">
      <c r="A26" s="15"/>
      <c r="B26" s="16"/>
      <c r="C26" s="33"/>
      <c r="D26" s="16"/>
      <c r="E26" s="16"/>
      <c r="F26" s="16"/>
      <c r="G26" s="34"/>
      <c r="H26" s="23"/>
    </row>
    <row r="27" spans="1:9" ht="27.75">
      <c r="A27" s="9">
        <v>11</v>
      </c>
      <c r="B27" s="35" t="s">
        <v>14</v>
      </c>
      <c r="C27" s="29" t="s">
        <v>15</v>
      </c>
      <c r="D27" s="30" t="s">
        <v>16</v>
      </c>
      <c r="E27" s="31">
        <f>1530*1.07</f>
        <v>1637.1000000000001</v>
      </c>
      <c r="F27" s="12" t="s">
        <v>17</v>
      </c>
      <c r="G27" s="32" t="s">
        <v>18</v>
      </c>
      <c r="H27" s="14">
        <v>1</v>
      </c>
    </row>
    <row r="28" spans="1:9" ht="27.75">
      <c r="A28" s="15"/>
      <c r="B28" s="16"/>
      <c r="C28" s="33"/>
      <c r="D28" s="16" t="s">
        <v>19</v>
      </c>
      <c r="E28" s="16"/>
      <c r="F28" s="16"/>
      <c r="G28" s="34"/>
      <c r="H28" s="23"/>
    </row>
    <row r="29" spans="1:9" ht="27.75">
      <c r="A29" s="9">
        <v>12</v>
      </c>
      <c r="B29" s="36" t="s">
        <v>14</v>
      </c>
      <c r="C29" s="29" t="s">
        <v>15</v>
      </c>
      <c r="D29" s="30" t="s">
        <v>20</v>
      </c>
      <c r="E29" s="31">
        <f>2160*1.07</f>
        <v>2311.2000000000003</v>
      </c>
      <c r="F29" s="12" t="s">
        <v>17</v>
      </c>
      <c r="G29" s="32" t="s">
        <v>21</v>
      </c>
      <c r="H29" s="14">
        <v>1</v>
      </c>
    </row>
    <row r="30" spans="1:9" ht="27.75">
      <c r="A30" s="15"/>
      <c r="B30" s="16"/>
      <c r="C30" s="33"/>
      <c r="D30" s="16" t="s">
        <v>22</v>
      </c>
      <c r="E30" s="16"/>
      <c r="F30" s="16"/>
      <c r="G30" s="34"/>
      <c r="H30" s="23"/>
    </row>
    <row r="31" spans="1:9" s="43" customFormat="1" ht="27.75">
      <c r="A31" s="42"/>
      <c r="B31" s="148"/>
      <c r="C31" s="148"/>
      <c r="D31" s="148"/>
      <c r="E31" s="148"/>
      <c r="F31" s="148"/>
      <c r="G31" s="42"/>
      <c r="H31" s="42"/>
    </row>
    <row r="32" spans="1:9" ht="29.25" customHeight="1">
      <c r="A32" s="330" t="s">
        <v>561</v>
      </c>
      <c r="B32" s="332" t="s">
        <v>0</v>
      </c>
      <c r="C32" s="329" t="s">
        <v>1</v>
      </c>
      <c r="D32" s="329" t="s">
        <v>2</v>
      </c>
      <c r="E32" s="329" t="s">
        <v>3</v>
      </c>
      <c r="F32" s="329" t="s">
        <v>4</v>
      </c>
      <c r="G32" s="329"/>
      <c r="H32" s="330" t="s">
        <v>5</v>
      </c>
      <c r="I32" s="5"/>
    </row>
    <row r="33" spans="1:8" ht="55.5" customHeight="1">
      <c r="A33" s="331"/>
      <c r="B33" s="333"/>
      <c r="C33" s="329"/>
      <c r="D33" s="329"/>
      <c r="E33" s="329"/>
      <c r="F33" s="6" t="s">
        <v>6</v>
      </c>
      <c r="G33" s="6" t="s">
        <v>7</v>
      </c>
      <c r="H33" s="331"/>
    </row>
    <row r="34" spans="1:8" ht="27.75">
      <c r="A34" s="9">
        <v>13</v>
      </c>
      <c r="B34" s="37" t="s">
        <v>23</v>
      </c>
      <c r="C34" s="29" t="s">
        <v>24</v>
      </c>
      <c r="D34" s="30" t="s">
        <v>25</v>
      </c>
      <c r="E34" s="38">
        <f>400*1.07</f>
        <v>428</v>
      </c>
      <c r="F34" s="12" t="s">
        <v>17</v>
      </c>
      <c r="G34" s="32" t="s">
        <v>26</v>
      </c>
      <c r="H34" s="14">
        <v>1</v>
      </c>
    </row>
    <row r="35" spans="1:8" ht="27.75">
      <c r="A35" s="15"/>
      <c r="B35" s="16"/>
      <c r="C35" s="33"/>
      <c r="D35" s="16"/>
      <c r="E35" s="16"/>
      <c r="F35" s="16"/>
      <c r="G35" s="34"/>
      <c r="H35" s="23"/>
    </row>
    <row r="36" spans="1:8" ht="27.75">
      <c r="A36" s="9">
        <v>14</v>
      </c>
      <c r="B36" s="39" t="s">
        <v>27</v>
      </c>
      <c r="C36" s="29" t="s">
        <v>28</v>
      </c>
      <c r="D36" s="30" t="s">
        <v>29</v>
      </c>
      <c r="E36" s="31">
        <f>11165*1.07</f>
        <v>11946.550000000001</v>
      </c>
      <c r="F36" s="12" t="s">
        <v>17</v>
      </c>
      <c r="G36" s="32" t="s">
        <v>30</v>
      </c>
      <c r="H36" s="14">
        <v>1</v>
      </c>
    </row>
    <row r="37" spans="1:8" ht="27.75">
      <c r="A37" s="15"/>
      <c r="B37" s="16"/>
      <c r="C37" s="33"/>
      <c r="D37" s="16" t="s">
        <v>31</v>
      </c>
      <c r="E37" s="16"/>
      <c r="F37" s="16"/>
      <c r="G37" s="34"/>
      <c r="H37" s="23"/>
    </row>
    <row r="38" spans="1:8" ht="27.75">
      <c r="A38" s="9">
        <v>15</v>
      </c>
      <c r="B38" s="37" t="s">
        <v>27</v>
      </c>
      <c r="C38" s="29" t="s">
        <v>28</v>
      </c>
      <c r="D38" s="30" t="s">
        <v>32</v>
      </c>
      <c r="E38" s="31">
        <f>34800*1.07</f>
        <v>37236</v>
      </c>
      <c r="F38" s="12" t="s">
        <v>17</v>
      </c>
      <c r="G38" s="32" t="s">
        <v>33</v>
      </c>
      <c r="H38" s="14">
        <v>1</v>
      </c>
    </row>
    <row r="39" spans="1:8" ht="27.75">
      <c r="A39" s="15"/>
      <c r="B39" s="40"/>
      <c r="C39" s="41"/>
      <c r="D39" s="40" t="s">
        <v>34</v>
      </c>
      <c r="E39" s="40"/>
      <c r="F39" s="40"/>
      <c r="G39" s="34"/>
      <c r="H39" s="23"/>
    </row>
    <row r="40" spans="1:8" ht="27.75">
      <c r="A40" s="9">
        <v>16</v>
      </c>
      <c r="B40" s="12" t="s">
        <v>35</v>
      </c>
      <c r="C40" s="30" t="s">
        <v>36</v>
      </c>
      <c r="D40" s="29" t="s">
        <v>37</v>
      </c>
      <c r="E40" s="31">
        <f>29250*1.07</f>
        <v>31297.5</v>
      </c>
      <c r="F40" s="12" t="s">
        <v>17</v>
      </c>
      <c r="G40" s="32" t="s">
        <v>38</v>
      </c>
      <c r="H40" s="14">
        <v>1</v>
      </c>
    </row>
    <row r="41" spans="1:8" ht="27.75">
      <c r="A41" s="15"/>
      <c r="B41" s="16"/>
      <c r="C41" s="16"/>
      <c r="D41" s="33" t="s">
        <v>39</v>
      </c>
      <c r="E41" s="16"/>
      <c r="F41" s="16"/>
      <c r="G41" s="34"/>
      <c r="H41" s="23"/>
    </row>
    <row r="42" spans="1:8" ht="27.75">
      <c r="A42" s="9">
        <v>17</v>
      </c>
      <c r="B42" s="44" t="s">
        <v>40</v>
      </c>
      <c r="C42" s="30" t="s">
        <v>41</v>
      </c>
      <c r="D42" s="29" t="s">
        <v>42</v>
      </c>
      <c r="E42" s="31">
        <f>46000*1.07</f>
        <v>49220</v>
      </c>
      <c r="F42" s="12" t="s">
        <v>17</v>
      </c>
      <c r="G42" s="32" t="s">
        <v>43</v>
      </c>
      <c r="H42" s="14">
        <v>1</v>
      </c>
    </row>
    <row r="43" spans="1:8" ht="27.75">
      <c r="A43" s="15"/>
      <c r="B43" s="16"/>
      <c r="C43" s="16" t="s">
        <v>44</v>
      </c>
      <c r="D43" s="33"/>
      <c r="E43" s="16"/>
      <c r="F43" s="16"/>
      <c r="G43" s="34"/>
      <c r="H43" s="16"/>
    </row>
    <row r="44" spans="1:8" ht="27.75">
      <c r="A44" s="9">
        <v>18</v>
      </c>
      <c r="B44" s="37" t="s">
        <v>45</v>
      </c>
      <c r="C44" s="45" t="s">
        <v>46</v>
      </c>
      <c r="D44" s="30" t="s">
        <v>47</v>
      </c>
      <c r="E44" s="46">
        <f>43200*1.07</f>
        <v>46224</v>
      </c>
      <c r="F44" s="12" t="s">
        <v>48</v>
      </c>
      <c r="G44" s="47" t="s">
        <v>49</v>
      </c>
      <c r="H44" s="14">
        <v>1</v>
      </c>
    </row>
    <row r="45" spans="1:8" ht="27.75">
      <c r="A45" s="15"/>
      <c r="B45" s="16"/>
      <c r="C45" s="16"/>
      <c r="D45" s="16"/>
      <c r="E45" s="33"/>
      <c r="F45" s="16"/>
      <c r="G45" s="34"/>
      <c r="H45" s="23"/>
    </row>
    <row r="46" spans="1:8" ht="27.75">
      <c r="A46" s="9">
        <v>19</v>
      </c>
      <c r="B46" s="28" t="s">
        <v>9</v>
      </c>
      <c r="C46" s="30" t="s">
        <v>50</v>
      </c>
      <c r="D46" s="48" t="s">
        <v>51</v>
      </c>
      <c r="E46" s="31">
        <f>18465*1.07</f>
        <v>19757.550000000003</v>
      </c>
      <c r="F46" s="12" t="s">
        <v>48</v>
      </c>
      <c r="G46" s="49" t="s">
        <v>52</v>
      </c>
      <c r="H46" s="14">
        <v>1</v>
      </c>
    </row>
    <row r="47" spans="1:8" ht="27.75">
      <c r="A47" s="15"/>
      <c r="B47" s="16"/>
      <c r="C47" s="16"/>
      <c r="D47" s="50" t="s">
        <v>53</v>
      </c>
      <c r="E47" s="16"/>
      <c r="F47" s="16"/>
      <c r="G47" s="34"/>
      <c r="H47" s="23"/>
    </row>
    <row r="48" spans="1:8" ht="27.75">
      <c r="A48" s="9">
        <v>20</v>
      </c>
      <c r="B48" s="28" t="s">
        <v>54</v>
      </c>
      <c r="C48" s="30" t="s">
        <v>55</v>
      </c>
      <c r="D48" s="48" t="s">
        <v>56</v>
      </c>
      <c r="E48" s="31">
        <f>25000*1.07</f>
        <v>26750</v>
      </c>
      <c r="F48" s="12" t="s">
        <v>48</v>
      </c>
      <c r="G48" s="49" t="s">
        <v>57</v>
      </c>
      <c r="H48" s="14">
        <v>1</v>
      </c>
    </row>
    <row r="49" spans="1:9" ht="27.75">
      <c r="A49" s="15"/>
      <c r="B49" s="16"/>
      <c r="C49" s="16"/>
      <c r="D49" s="50"/>
      <c r="E49" s="16"/>
      <c r="F49" s="16"/>
      <c r="G49" s="34"/>
      <c r="H49" s="16"/>
    </row>
    <row r="50" spans="1:9" ht="27.75">
      <c r="A50" s="9">
        <v>21</v>
      </c>
      <c r="B50" s="12" t="s">
        <v>58</v>
      </c>
      <c r="C50" s="48" t="s">
        <v>59</v>
      </c>
      <c r="D50" s="30" t="s">
        <v>60</v>
      </c>
      <c r="E50" s="51">
        <f>15100*1.07</f>
        <v>16157.000000000002</v>
      </c>
      <c r="F50" s="12" t="s">
        <v>48</v>
      </c>
      <c r="G50" s="49" t="s">
        <v>61</v>
      </c>
      <c r="H50" s="14">
        <v>1</v>
      </c>
    </row>
    <row r="51" spans="1:9" ht="27.75">
      <c r="A51" s="15"/>
      <c r="B51" s="23"/>
      <c r="C51" s="50"/>
      <c r="D51" s="16" t="s">
        <v>19</v>
      </c>
      <c r="E51" s="50"/>
      <c r="F51" s="16"/>
      <c r="G51" s="52"/>
      <c r="H51" s="23"/>
    </row>
    <row r="52" spans="1:9" ht="27.75">
      <c r="A52" s="9">
        <v>22</v>
      </c>
      <c r="B52" s="53" t="s">
        <v>14</v>
      </c>
      <c r="C52" s="45" t="s">
        <v>62</v>
      </c>
      <c r="D52" s="45" t="s">
        <v>63</v>
      </c>
      <c r="E52" s="54">
        <f>13000*1.07</f>
        <v>13910</v>
      </c>
      <c r="F52" s="55" t="s">
        <v>48</v>
      </c>
      <c r="G52" s="56" t="s">
        <v>64</v>
      </c>
      <c r="H52" s="20">
        <v>1</v>
      </c>
    </row>
    <row r="53" spans="1:9" ht="27.75">
      <c r="A53" s="15"/>
      <c r="B53" s="15"/>
      <c r="C53" s="16"/>
      <c r="D53" s="16" t="s">
        <v>560</v>
      </c>
      <c r="E53" s="16"/>
      <c r="F53" s="16"/>
      <c r="G53" s="34"/>
      <c r="H53" s="16"/>
    </row>
    <row r="54" spans="1:9" ht="27.75">
      <c r="A54" s="9">
        <v>23</v>
      </c>
      <c r="B54" s="57" t="s">
        <v>9</v>
      </c>
      <c r="C54" s="58" t="s">
        <v>50</v>
      </c>
      <c r="D54" s="45" t="s">
        <v>66</v>
      </c>
      <c r="E54" s="54">
        <f>15500*1.07</f>
        <v>16585</v>
      </c>
      <c r="F54" s="55" t="s">
        <v>48</v>
      </c>
      <c r="G54" s="47" t="s">
        <v>67</v>
      </c>
      <c r="H54" s="14">
        <v>1</v>
      </c>
    </row>
    <row r="55" spans="1:9" ht="27.75">
      <c r="A55" s="15"/>
      <c r="B55" s="23"/>
      <c r="C55" s="59"/>
      <c r="D55" s="16" t="s">
        <v>68</v>
      </c>
      <c r="E55" s="16"/>
      <c r="F55" s="16"/>
      <c r="G55" s="34"/>
      <c r="H55" s="23"/>
    </row>
    <row r="56" spans="1:9" ht="27.75">
      <c r="A56" s="9">
        <v>24</v>
      </c>
      <c r="B56" s="60" t="s">
        <v>69</v>
      </c>
      <c r="C56" s="30" t="s">
        <v>70</v>
      </c>
      <c r="D56" s="30" t="s">
        <v>71</v>
      </c>
      <c r="E56" s="31">
        <f>8145*1.07</f>
        <v>8715.15</v>
      </c>
      <c r="F56" s="12" t="s">
        <v>48</v>
      </c>
      <c r="G56" s="32" t="s">
        <v>72</v>
      </c>
      <c r="H56" s="14">
        <v>1</v>
      </c>
    </row>
    <row r="57" spans="1:9" ht="27.75">
      <c r="A57" s="15"/>
      <c r="B57" s="15"/>
      <c r="C57" s="16"/>
      <c r="D57" s="16" t="s">
        <v>73</v>
      </c>
      <c r="E57" s="16"/>
      <c r="F57" s="16"/>
      <c r="G57" s="34"/>
      <c r="H57" s="23"/>
    </row>
    <row r="58" spans="1:9" ht="27.75">
      <c r="A58" s="9">
        <v>25</v>
      </c>
      <c r="B58" s="57" t="s">
        <v>9</v>
      </c>
      <c r="C58" s="58" t="s">
        <v>50</v>
      </c>
      <c r="D58" s="45" t="s">
        <v>74</v>
      </c>
      <c r="E58" s="54">
        <f>1700*1.07</f>
        <v>1819</v>
      </c>
      <c r="F58" s="55" t="s">
        <v>48</v>
      </c>
      <c r="G58" s="47" t="s">
        <v>75</v>
      </c>
      <c r="H58" s="14">
        <v>1</v>
      </c>
    </row>
    <row r="59" spans="1:9" ht="27.75">
      <c r="A59" s="15"/>
      <c r="B59" s="23"/>
      <c r="C59" s="50"/>
      <c r="D59" s="16" t="s">
        <v>76</v>
      </c>
      <c r="E59" s="16"/>
      <c r="F59" s="16"/>
      <c r="G59" s="34"/>
      <c r="H59" s="16"/>
    </row>
    <row r="60" spans="1:9" ht="27.75">
      <c r="A60" s="9">
        <v>26</v>
      </c>
      <c r="B60" s="37" t="s">
        <v>27</v>
      </c>
      <c r="C60" s="48" t="s">
        <v>28</v>
      </c>
      <c r="D60" s="30" t="s">
        <v>77</v>
      </c>
      <c r="E60" s="31">
        <f>14500*1.07</f>
        <v>15515</v>
      </c>
      <c r="F60" s="12" t="s">
        <v>48</v>
      </c>
      <c r="G60" s="32" t="s">
        <v>78</v>
      </c>
      <c r="H60" s="14">
        <v>1</v>
      </c>
    </row>
    <row r="61" spans="1:9" ht="27.75">
      <c r="A61" s="15"/>
      <c r="B61" s="23"/>
      <c r="C61" s="50"/>
      <c r="D61" s="16" t="s">
        <v>79</v>
      </c>
      <c r="E61" s="16"/>
      <c r="F61" s="16"/>
      <c r="G61" s="34"/>
      <c r="H61" s="23"/>
    </row>
    <row r="62" spans="1:9" s="43" customFormat="1" ht="27.75">
      <c r="A62" s="42"/>
      <c r="B62" s="42"/>
      <c r="C62" s="148"/>
      <c r="D62" s="148"/>
      <c r="E62" s="148"/>
      <c r="F62" s="148"/>
      <c r="G62" s="42"/>
      <c r="H62" s="42"/>
    </row>
    <row r="63" spans="1:9" ht="29.25" customHeight="1">
      <c r="A63" s="330" t="s">
        <v>561</v>
      </c>
      <c r="B63" s="332" t="s">
        <v>0</v>
      </c>
      <c r="C63" s="329" t="s">
        <v>1</v>
      </c>
      <c r="D63" s="329" t="s">
        <v>2</v>
      </c>
      <c r="E63" s="329" t="s">
        <v>3</v>
      </c>
      <c r="F63" s="329" t="s">
        <v>4</v>
      </c>
      <c r="G63" s="329"/>
      <c r="H63" s="330" t="s">
        <v>5</v>
      </c>
      <c r="I63" s="5"/>
    </row>
    <row r="64" spans="1:9" ht="55.5" customHeight="1">
      <c r="A64" s="331"/>
      <c r="B64" s="333"/>
      <c r="C64" s="329"/>
      <c r="D64" s="329"/>
      <c r="E64" s="329"/>
      <c r="F64" s="6" t="s">
        <v>6</v>
      </c>
      <c r="G64" s="6" t="s">
        <v>7</v>
      </c>
      <c r="H64" s="331"/>
    </row>
    <row r="65" spans="1:8" ht="27.75">
      <c r="A65" s="9">
        <v>27</v>
      </c>
      <c r="B65" s="39" t="s">
        <v>27</v>
      </c>
      <c r="C65" s="61" t="s">
        <v>80</v>
      </c>
      <c r="D65" s="45" t="s">
        <v>81</v>
      </c>
      <c r="E65" s="54">
        <f>16590*1.07</f>
        <v>17751.3</v>
      </c>
      <c r="F65" s="55" t="s">
        <v>48</v>
      </c>
      <c r="G65" s="47" t="s">
        <v>82</v>
      </c>
      <c r="H65" s="14">
        <v>1</v>
      </c>
    </row>
    <row r="66" spans="1:8" ht="27.75">
      <c r="A66" s="15"/>
      <c r="B66" s="20"/>
      <c r="C66" s="61"/>
      <c r="D66" s="45" t="s">
        <v>83</v>
      </c>
      <c r="E66" s="45"/>
      <c r="F66" s="45"/>
      <c r="G66" s="56"/>
      <c r="H66" s="16"/>
    </row>
    <row r="67" spans="1:8" ht="27.75">
      <c r="A67" s="9">
        <v>28</v>
      </c>
      <c r="B67" s="62" t="s">
        <v>84</v>
      </c>
      <c r="C67" s="30" t="s">
        <v>85</v>
      </c>
      <c r="D67" s="30" t="s">
        <v>86</v>
      </c>
      <c r="E67" s="31">
        <f>54940*1.07</f>
        <v>58785.8</v>
      </c>
      <c r="F67" s="12" t="s">
        <v>48</v>
      </c>
      <c r="G67" s="32" t="s">
        <v>87</v>
      </c>
      <c r="H67" s="14">
        <v>1</v>
      </c>
    </row>
    <row r="68" spans="1:8" ht="27.75">
      <c r="A68" s="15"/>
      <c r="B68" s="15"/>
      <c r="C68" s="16"/>
      <c r="D68" s="16" t="s">
        <v>65</v>
      </c>
      <c r="E68" s="16"/>
      <c r="F68" s="16"/>
      <c r="G68" s="34"/>
      <c r="H68" s="23"/>
    </row>
    <row r="69" spans="1:8" ht="27.75">
      <c r="A69" s="9">
        <v>29</v>
      </c>
      <c r="B69" s="28" t="s">
        <v>9</v>
      </c>
      <c r="C69" s="63" t="s">
        <v>50</v>
      </c>
      <c r="D69" s="30" t="s">
        <v>88</v>
      </c>
      <c r="E69" s="31">
        <f>2800*1.07</f>
        <v>2996</v>
      </c>
      <c r="F69" s="12" t="s">
        <v>48</v>
      </c>
      <c r="G69" s="49" t="s">
        <v>89</v>
      </c>
      <c r="H69" s="14">
        <v>1</v>
      </c>
    </row>
    <row r="70" spans="1:8" ht="27.75">
      <c r="A70" s="15"/>
      <c r="B70" s="23"/>
      <c r="C70" s="50"/>
      <c r="D70" s="16" t="s">
        <v>90</v>
      </c>
      <c r="E70" s="16"/>
      <c r="F70" s="16"/>
      <c r="G70" s="34"/>
      <c r="H70" s="23"/>
    </row>
    <row r="71" spans="1:8" ht="27.75">
      <c r="A71" s="9">
        <v>30</v>
      </c>
      <c r="B71" s="28" t="s">
        <v>9</v>
      </c>
      <c r="C71" s="63" t="s">
        <v>50</v>
      </c>
      <c r="D71" s="30" t="s">
        <v>91</v>
      </c>
      <c r="E71" s="31">
        <f>3200*1.07</f>
        <v>3424</v>
      </c>
      <c r="F71" s="12" t="s">
        <v>48</v>
      </c>
      <c r="G71" s="49" t="s">
        <v>92</v>
      </c>
      <c r="H71" s="14">
        <v>1</v>
      </c>
    </row>
    <row r="72" spans="1:8" ht="27.75">
      <c r="A72" s="15"/>
      <c r="B72" s="23"/>
      <c r="C72" s="50"/>
      <c r="D72" s="16" t="s">
        <v>93</v>
      </c>
      <c r="E72" s="64"/>
      <c r="F72" s="16"/>
      <c r="G72" s="34"/>
      <c r="H72" s="16"/>
    </row>
    <row r="73" spans="1:8" ht="27.75">
      <c r="A73" s="9">
        <v>31</v>
      </c>
      <c r="B73" s="65" t="s">
        <v>131</v>
      </c>
      <c r="C73" s="66" t="s">
        <v>132</v>
      </c>
      <c r="D73" s="67" t="s">
        <v>133</v>
      </c>
      <c r="E73" s="68">
        <f>6000*1.07</f>
        <v>6420</v>
      </c>
      <c r="F73" s="69" t="s">
        <v>134</v>
      </c>
      <c r="G73" s="70" t="s">
        <v>135</v>
      </c>
      <c r="H73" s="70">
        <v>1</v>
      </c>
    </row>
    <row r="74" spans="1:8" ht="27.75">
      <c r="A74" s="15"/>
      <c r="B74" s="71"/>
      <c r="C74" s="72"/>
      <c r="D74" s="73"/>
      <c r="E74" s="74"/>
      <c r="F74" s="75"/>
      <c r="G74" s="76"/>
      <c r="H74" s="76"/>
    </row>
    <row r="75" spans="1:8" ht="27.75">
      <c r="A75" s="9">
        <v>32</v>
      </c>
      <c r="B75" s="28" t="s">
        <v>9</v>
      </c>
      <c r="C75" s="77" t="s">
        <v>50</v>
      </c>
      <c r="D75" s="78" t="s">
        <v>136</v>
      </c>
      <c r="E75" s="79">
        <f>1120*1.07</f>
        <v>1198.4000000000001</v>
      </c>
      <c r="F75" s="69" t="s">
        <v>134</v>
      </c>
      <c r="G75" s="80" t="s">
        <v>137</v>
      </c>
      <c r="H75" s="80">
        <v>1</v>
      </c>
    </row>
    <row r="76" spans="1:8" ht="27.75">
      <c r="A76" s="15"/>
      <c r="B76" s="81"/>
      <c r="C76" s="77"/>
      <c r="D76" s="82" t="s">
        <v>138</v>
      </c>
      <c r="E76" s="83"/>
      <c r="F76" s="84"/>
      <c r="G76" s="80"/>
      <c r="H76" s="80"/>
    </row>
    <row r="77" spans="1:8" ht="27.75">
      <c r="A77" s="9">
        <v>33</v>
      </c>
      <c r="B77" s="28" t="s">
        <v>9</v>
      </c>
      <c r="C77" s="66" t="s">
        <v>50</v>
      </c>
      <c r="D77" s="67" t="s">
        <v>139</v>
      </c>
      <c r="E77" s="68">
        <f>16000*1.07</f>
        <v>17120</v>
      </c>
      <c r="F77" s="69" t="s">
        <v>134</v>
      </c>
      <c r="G77" s="70" t="s">
        <v>140</v>
      </c>
      <c r="H77" s="70">
        <v>1</v>
      </c>
    </row>
    <row r="78" spans="1:8" ht="27.75">
      <c r="A78" s="15"/>
      <c r="B78" s="85"/>
      <c r="C78" s="72"/>
      <c r="D78" s="73"/>
      <c r="E78" s="86"/>
      <c r="F78" s="87"/>
      <c r="G78" s="76"/>
      <c r="H78" s="76"/>
    </row>
    <row r="79" spans="1:8" ht="27.75">
      <c r="A79" s="9">
        <v>34</v>
      </c>
      <c r="B79" s="88" t="s">
        <v>141</v>
      </c>
      <c r="C79" s="66" t="s">
        <v>142</v>
      </c>
      <c r="D79" s="67" t="s">
        <v>143</v>
      </c>
      <c r="E79" s="68">
        <f>52860*1.07</f>
        <v>56560.200000000004</v>
      </c>
      <c r="F79" s="69" t="s">
        <v>134</v>
      </c>
      <c r="G79" s="70" t="s">
        <v>144</v>
      </c>
      <c r="H79" s="70">
        <v>1</v>
      </c>
    </row>
    <row r="80" spans="1:8" ht="27.75">
      <c r="A80" s="15"/>
      <c r="B80" s="71"/>
      <c r="C80" s="72"/>
      <c r="D80" s="89"/>
      <c r="E80" s="74"/>
      <c r="F80" s="75"/>
      <c r="G80" s="76"/>
      <c r="H80" s="76"/>
    </row>
    <row r="81" spans="1:8" ht="27.75">
      <c r="A81" s="9">
        <v>35</v>
      </c>
      <c r="B81" s="44" t="s">
        <v>40</v>
      </c>
      <c r="C81" s="77" t="s">
        <v>41</v>
      </c>
      <c r="D81" s="78" t="s">
        <v>145</v>
      </c>
      <c r="E81" s="79">
        <f>49500*1.07</f>
        <v>52965</v>
      </c>
      <c r="F81" s="69" t="s">
        <v>134</v>
      </c>
      <c r="G81" s="80" t="s">
        <v>146</v>
      </c>
      <c r="H81" s="80">
        <v>1</v>
      </c>
    </row>
    <row r="82" spans="1:8" ht="27.75">
      <c r="A82" s="15"/>
      <c r="B82" s="81"/>
      <c r="C82" s="77"/>
      <c r="D82" s="78" t="s">
        <v>147</v>
      </c>
      <c r="E82" s="83"/>
      <c r="F82" s="84"/>
      <c r="G82" s="80"/>
      <c r="H82" s="80"/>
    </row>
    <row r="83" spans="1:8" ht="27.75">
      <c r="A83" s="9">
        <v>36</v>
      </c>
      <c r="B83" s="24" t="s">
        <v>141</v>
      </c>
      <c r="C83" s="66" t="s">
        <v>142</v>
      </c>
      <c r="D83" s="67" t="s">
        <v>148</v>
      </c>
      <c r="E83" s="68">
        <f>1565*1.07</f>
        <v>1674.5500000000002</v>
      </c>
      <c r="F83" s="69" t="s">
        <v>149</v>
      </c>
      <c r="G83" s="70" t="s">
        <v>150</v>
      </c>
      <c r="H83" s="70">
        <v>1</v>
      </c>
    </row>
    <row r="84" spans="1:8" ht="27.75">
      <c r="A84" s="15"/>
      <c r="B84" s="76"/>
      <c r="C84" s="72"/>
      <c r="D84" s="89"/>
      <c r="E84" s="74"/>
      <c r="F84" s="75"/>
      <c r="G84" s="76"/>
      <c r="H84" s="76"/>
    </row>
    <row r="85" spans="1:8" ht="27.75">
      <c r="A85" s="9">
        <v>37</v>
      </c>
      <c r="B85" s="88" t="s">
        <v>141</v>
      </c>
      <c r="C85" s="66" t="s">
        <v>142</v>
      </c>
      <c r="D85" s="67" t="s">
        <v>151</v>
      </c>
      <c r="E85" s="68">
        <f>42600*1.07</f>
        <v>45582</v>
      </c>
      <c r="F85" s="69" t="s">
        <v>149</v>
      </c>
      <c r="G85" s="70" t="s">
        <v>152</v>
      </c>
      <c r="H85" s="70">
        <v>1</v>
      </c>
    </row>
    <row r="86" spans="1:8" ht="27.75">
      <c r="A86" s="15"/>
      <c r="B86" s="71"/>
      <c r="C86" s="72"/>
      <c r="D86" s="73"/>
      <c r="E86" s="74"/>
      <c r="F86" s="75"/>
      <c r="G86" s="76"/>
      <c r="H86" s="76"/>
    </row>
    <row r="87" spans="1:8" ht="27.75">
      <c r="A87" s="9">
        <v>38</v>
      </c>
      <c r="B87" s="37" t="s">
        <v>27</v>
      </c>
      <c r="C87" s="66" t="s">
        <v>28</v>
      </c>
      <c r="D87" s="78" t="s">
        <v>153</v>
      </c>
      <c r="E87" s="79">
        <f>29400*1.07</f>
        <v>31458.000000000004</v>
      </c>
      <c r="F87" s="69" t="s">
        <v>149</v>
      </c>
      <c r="G87" s="80" t="s">
        <v>154</v>
      </c>
      <c r="H87" s="80">
        <v>1</v>
      </c>
    </row>
    <row r="88" spans="1:8" ht="27.75">
      <c r="A88" s="15"/>
      <c r="B88" s="71"/>
      <c r="C88" s="72"/>
      <c r="D88" s="78" t="s">
        <v>155</v>
      </c>
      <c r="E88" s="83"/>
      <c r="F88" s="84"/>
      <c r="G88" s="80"/>
      <c r="H88" s="80"/>
    </row>
    <row r="89" spans="1:8" ht="27.75">
      <c r="A89" s="9">
        <v>39</v>
      </c>
      <c r="B89" s="39" t="s">
        <v>27</v>
      </c>
      <c r="C89" s="77" t="s">
        <v>28</v>
      </c>
      <c r="D89" s="67" t="s">
        <v>156</v>
      </c>
      <c r="E89" s="68">
        <f>28900*1.07</f>
        <v>30923</v>
      </c>
      <c r="F89" s="69" t="s">
        <v>149</v>
      </c>
      <c r="G89" s="70" t="s">
        <v>157</v>
      </c>
      <c r="H89" s="70">
        <v>1</v>
      </c>
    </row>
    <row r="90" spans="1:8" ht="27.75">
      <c r="A90" s="15"/>
      <c r="B90" s="71"/>
      <c r="C90" s="72"/>
      <c r="D90" s="73"/>
      <c r="E90" s="74"/>
      <c r="F90" s="75"/>
      <c r="G90" s="76"/>
      <c r="H90" s="76"/>
    </row>
    <row r="91" spans="1:8" ht="27.75">
      <c r="A91" s="9">
        <v>40</v>
      </c>
      <c r="B91" s="24" t="s">
        <v>158</v>
      </c>
      <c r="C91" s="66" t="s">
        <v>159</v>
      </c>
      <c r="D91" s="67" t="s">
        <v>160</v>
      </c>
      <c r="E91" s="68">
        <f>18547*1.07</f>
        <v>19845.29</v>
      </c>
      <c r="F91" s="69" t="s">
        <v>149</v>
      </c>
      <c r="G91" s="70" t="s">
        <v>161</v>
      </c>
      <c r="H91" s="70">
        <v>1</v>
      </c>
    </row>
    <row r="92" spans="1:8" ht="27.75">
      <c r="A92" s="15"/>
      <c r="B92" s="85"/>
      <c r="C92" s="72"/>
      <c r="D92" s="89"/>
      <c r="E92" s="86"/>
      <c r="F92" s="87"/>
      <c r="G92" s="76"/>
      <c r="H92" s="76"/>
    </row>
    <row r="93" spans="1:8" s="43" customFormat="1" ht="27.75">
      <c r="A93" s="42"/>
      <c r="B93" s="91"/>
      <c r="C93" s="78"/>
      <c r="D93" s="82"/>
      <c r="E93" s="112"/>
      <c r="F93" s="91"/>
      <c r="G93" s="84"/>
      <c r="H93" s="84"/>
    </row>
    <row r="94" spans="1:8" ht="34.5" customHeight="1">
      <c r="A94" s="330" t="s">
        <v>561</v>
      </c>
      <c r="B94" s="332" t="s">
        <v>0</v>
      </c>
      <c r="C94" s="329" t="s">
        <v>1</v>
      </c>
      <c r="D94" s="329" t="s">
        <v>2</v>
      </c>
      <c r="E94" s="329" t="s">
        <v>3</v>
      </c>
      <c r="F94" s="329" t="s">
        <v>4</v>
      </c>
      <c r="G94" s="329"/>
      <c r="H94" s="330" t="s">
        <v>5</v>
      </c>
    </row>
    <row r="95" spans="1:8" ht="54.75" customHeight="1">
      <c r="A95" s="331"/>
      <c r="B95" s="333"/>
      <c r="C95" s="329"/>
      <c r="D95" s="329"/>
      <c r="E95" s="329"/>
      <c r="F95" s="6" t="s">
        <v>6</v>
      </c>
      <c r="G95" s="6" t="s">
        <v>7</v>
      </c>
      <c r="H95" s="331"/>
    </row>
    <row r="96" spans="1:8" ht="27.75">
      <c r="A96" s="9">
        <v>41</v>
      </c>
      <c r="B96" s="44" t="s">
        <v>162</v>
      </c>
      <c r="C96" s="66" t="s">
        <v>163</v>
      </c>
      <c r="D96" s="67" t="s">
        <v>164</v>
      </c>
      <c r="E96" s="68">
        <f>11600*1.07</f>
        <v>12412</v>
      </c>
      <c r="F96" s="69" t="s">
        <v>149</v>
      </c>
      <c r="G96" s="70" t="s">
        <v>165</v>
      </c>
      <c r="H96" s="80">
        <v>1</v>
      </c>
    </row>
    <row r="97" spans="1:8" ht="27.75">
      <c r="A97" s="15"/>
      <c r="B97" s="76"/>
      <c r="C97" s="72"/>
      <c r="D97" s="73" t="s">
        <v>166</v>
      </c>
      <c r="E97" s="74"/>
      <c r="F97" s="75"/>
      <c r="G97" s="76"/>
      <c r="H97" s="80"/>
    </row>
    <row r="98" spans="1:8" ht="27.75">
      <c r="A98" s="9">
        <v>42</v>
      </c>
      <c r="B98" s="37" t="s">
        <v>27</v>
      </c>
      <c r="C98" s="66" t="s">
        <v>28</v>
      </c>
      <c r="D98" s="67" t="s">
        <v>167</v>
      </c>
      <c r="E98" s="68">
        <f>15900*1.07</f>
        <v>17013</v>
      </c>
      <c r="F98" s="69" t="s">
        <v>149</v>
      </c>
      <c r="G98" s="70" t="s">
        <v>168</v>
      </c>
      <c r="H98" s="70">
        <v>1</v>
      </c>
    </row>
    <row r="99" spans="1:8" ht="27.75">
      <c r="A99" s="15"/>
      <c r="B99" s="71"/>
      <c r="C99" s="72"/>
      <c r="D99" s="73" t="s">
        <v>169</v>
      </c>
      <c r="E99" s="74"/>
      <c r="F99" s="75"/>
      <c r="G99" s="76"/>
      <c r="H99" s="76"/>
    </row>
    <row r="100" spans="1:8" ht="27.75">
      <c r="A100" s="9">
        <v>43</v>
      </c>
      <c r="B100" s="24" t="s">
        <v>170</v>
      </c>
      <c r="C100" s="92" t="s">
        <v>171</v>
      </c>
      <c r="D100" s="67" t="s">
        <v>172</v>
      </c>
      <c r="E100" s="68">
        <f>17650*1.07</f>
        <v>18885.5</v>
      </c>
      <c r="F100" s="69" t="s">
        <v>149</v>
      </c>
      <c r="G100" s="70" t="s">
        <v>173</v>
      </c>
      <c r="H100" s="70">
        <v>1</v>
      </c>
    </row>
    <row r="101" spans="1:8" ht="27.75">
      <c r="A101" s="15"/>
      <c r="B101" s="76"/>
      <c r="C101" s="93"/>
      <c r="D101" s="73"/>
      <c r="E101" s="74"/>
      <c r="F101" s="75"/>
      <c r="G101" s="76"/>
      <c r="H101" s="76"/>
    </row>
    <row r="102" spans="1:8" ht="27.75">
      <c r="A102" s="9">
        <v>44</v>
      </c>
      <c r="B102" s="95" t="s">
        <v>141</v>
      </c>
      <c r="C102" s="66" t="s">
        <v>142</v>
      </c>
      <c r="D102" s="67" t="s">
        <v>174</v>
      </c>
      <c r="E102" s="68">
        <f>2320*1.07</f>
        <v>2482.4</v>
      </c>
      <c r="F102" s="69" t="s">
        <v>149</v>
      </c>
      <c r="G102" s="70" t="s">
        <v>175</v>
      </c>
      <c r="H102" s="70">
        <v>1</v>
      </c>
    </row>
    <row r="103" spans="1:8" ht="27.75">
      <c r="A103" s="15"/>
      <c r="B103" s="71"/>
      <c r="C103" s="72"/>
      <c r="D103" s="73"/>
      <c r="E103" s="74"/>
      <c r="F103" s="75"/>
      <c r="G103" s="76"/>
      <c r="H103" s="76"/>
    </row>
    <row r="104" spans="1:8" ht="27.75">
      <c r="A104" s="9">
        <v>45</v>
      </c>
      <c r="B104" s="70" t="s">
        <v>176</v>
      </c>
      <c r="C104" s="66" t="s">
        <v>177</v>
      </c>
      <c r="D104" s="67" t="s">
        <v>178</v>
      </c>
      <c r="E104" s="68">
        <f>81000*1.07</f>
        <v>86670</v>
      </c>
      <c r="F104" s="69" t="s">
        <v>149</v>
      </c>
      <c r="G104" s="70" t="s">
        <v>179</v>
      </c>
      <c r="H104" s="70">
        <v>1</v>
      </c>
    </row>
    <row r="105" spans="1:8" ht="27.75">
      <c r="A105" s="15"/>
      <c r="B105" s="76"/>
      <c r="C105" s="72"/>
      <c r="D105" s="73" t="s">
        <v>180</v>
      </c>
      <c r="E105" s="74"/>
      <c r="F105" s="75"/>
      <c r="G105" s="76"/>
      <c r="H105" s="76"/>
    </row>
    <row r="106" spans="1:8" ht="27.75">
      <c r="A106" s="9">
        <v>46</v>
      </c>
      <c r="B106" s="88" t="s">
        <v>141</v>
      </c>
      <c r="C106" s="77" t="s">
        <v>142</v>
      </c>
      <c r="D106" s="78" t="s">
        <v>181</v>
      </c>
      <c r="E106" s="79">
        <f>20640*1.07</f>
        <v>22084.800000000003</v>
      </c>
      <c r="F106" s="69" t="s">
        <v>149</v>
      </c>
      <c r="G106" s="80" t="s">
        <v>182</v>
      </c>
      <c r="H106" s="70">
        <v>1</v>
      </c>
    </row>
    <row r="107" spans="1:8" ht="27.75">
      <c r="A107" s="15"/>
      <c r="B107" s="81"/>
      <c r="C107" s="77"/>
      <c r="D107" s="78" t="s">
        <v>138</v>
      </c>
      <c r="E107" s="79"/>
      <c r="F107" s="84"/>
      <c r="G107" s="80"/>
      <c r="H107" s="76"/>
    </row>
    <row r="108" spans="1:8" ht="27.75">
      <c r="A108" s="9">
        <v>47</v>
      </c>
      <c r="B108" s="70" t="s">
        <v>183</v>
      </c>
      <c r="C108" s="66" t="s">
        <v>184</v>
      </c>
      <c r="D108" s="67" t="s">
        <v>185</v>
      </c>
      <c r="E108" s="68">
        <f>5040*1.07</f>
        <v>5392.8</v>
      </c>
      <c r="F108" s="69" t="s">
        <v>149</v>
      </c>
      <c r="G108" s="70" t="s">
        <v>186</v>
      </c>
      <c r="H108" s="80">
        <v>1</v>
      </c>
    </row>
    <row r="109" spans="1:8" ht="27.75">
      <c r="A109" s="15"/>
      <c r="B109" s="76"/>
      <c r="C109" s="72"/>
      <c r="D109" s="73" t="s">
        <v>187</v>
      </c>
      <c r="E109" s="74"/>
      <c r="F109" s="75"/>
      <c r="G109" s="76"/>
      <c r="H109" s="80"/>
    </row>
    <row r="110" spans="1:8" ht="27.75">
      <c r="A110" s="9">
        <v>48</v>
      </c>
      <c r="B110" s="81" t="s">
        <v>188</v>
      </c>
      <c r="C110" s="66" t="s">
        <v>189</v>
      </c>
      <c r="D110" s="67" t="s">
        <v>190</v>
      </c>
      <c r="E110" s="68">
        <f>73440*1.07</f>
        <v>78580.800000000003</v>
      </c>
      <c r="F110" s="69" t="s">
        <v>191</v>
      </c>
      <c r="G110" s="70" t="s">
        <v>192</v>
      </c>
      <c r="H110" s="70">
        <v>1</v>
      </c>
    </row>
    <row r="111" spans="1:8" ht="27.75">
      <c r="A111" s="15"/>
      <c r="B111" s="71"/>
      <c r="C111" s="72"/>
      <c r="D111" s="73" t="s">
        <v>193</v>
      </c>
      <c r="E111" s="74"/>
      <c r="F111" s="75"/>
      <c r="G111" s="76"/>
      <c r="H111" s="76"/>
    </row>
    <row r="112" spans="1:8" ht="27.75">
      <c r="A112" s="9">
        <v>49</v>
      </c>
      <c r="B112" s="28" t="s">
        <v>9</v>
      </c>
      <c r="C112" s="77" t="s">
        <v>194</v>
      </c>
      <c r="D112" s="78" t="s">
        <v>195</v>
      </c>
      <c r="E112" s="79">
        <f>1950*1.07</f>
        <v>2086.5</v>
      </c>
      <c r="F112" s="69" t="s">
        <v>191</v>
      </c>
      <c r="G112" s="80" t="s">
        <v>196</v>
      </c>
      <c r="H112" s="70">
        <v>1</v>
      </c>
    </row>
    <row r="113" spans="1:9" ht="27.75">
      <c r="A113" s="15"/>
      <c r="B113" s="81"/>
      <c r="C113" s="77"/>
      <c r="D113" s="78"/>
      <c r="E113" s="83"/>
      <c r="F113" s="84"/>
      <c r="G113" s="80"/>
      <c r="H113" s="76"/>
    </row>
    <row r="114" spans="1:9" ht="27.75">
      <c r="A114" s="9">
        <v>50</v>
      </c>
      <c r="B114" s="28" t="s">
        <v>9</v>
      </c>
      <c r="C114" s="66" t="s">
        <v>194</v>
      </c>
      <c r="D114" s="67" t="s">
        <v>197</v>
      </c>
      <c r="E114" s="68">
        <f>3800*1.07</f>
        <v>4066.0000000000005</v>
      </c>
      <c r="F114" s="69" t="s">
        <v>191</v>
      </c>
      <c r="G114" s="70" t="s">
        <v>198</v>
      </c>
      <c r="H114" s="70">
        <v>1</v>
      </c>
    </row>
    <row r="115" spans="1:9" ht="27.75">
      <c r="A115" s="15"/>
      <c r="B115" s="71"/>
      <c r="C115" s="72"/>
      <c r="D115" s="73" t="s">
        <v>199</v>
      </c>
      <c r="E115" s="74"/>
      <c r="F115" s="75"/>
      <c r="G115" s="76"/>
      <c r="H115" s="76"/>
    </row>
    <row r="116" spans="1:9" ht="27.75">
      <c r="A116" s="9">
        <v>51</v>
      </c>
      <c r="B116" s="96" t="s">
        <v>200</v>
      </c>
      <c r="C116" s="92" t="s">
        <v>201</v>
      </c>
      <c r="D116" s="67" t="s">
        <v>202</v>
      </c>
      <c r="E116" s="68">
        <f>16000*1.07</f>
        <v>17120</v>
      </c>
      <c r="F116" s="69" t="s">
        <v>191</v>
      </c>
      <c r="G116" s="70" t="s">
        <v>203</v>
      </c>
      <c r="H116" s="70">
        <v>1</v>
      </c>
    </row>
    <row r="117" spans="1:9" ht="27.75">
      <c r="A117" s="15"/>
      <c r="B117" s="76"/>
      <c r="C117" s="93"/>
      <c r="D117" s="73" t="s">
        <v>204</v>
      </c>
      <c r="E117" s="74"/>
      <c r="F117" s="75"/>
      <c r="G117" s="76"/>
      <c r="H117" s="76"/>
    </row>
    <row r="118" spans="1:9" ht="27.75">
      <c r="A118" s="9">
        <v>52</v>
      </c>
      <c r="B118" s="57" t="s">
        <v>9</v>
      </c>
      <c r="C118" s="66" t="s">
        <v>194</v>
      </c>
      <c r="D118" s="67" t="s">
        <v>205</v>
      </c>
      <c r="E118" s="68">
        <f>27930*1.07</f>
        <v>29885.100000000002</v>
      </c>
      <c r="F118" s="69" t="s">
        <v>191</v>
      </c>
      <c r="G118" s="70" t="s">
        <v>206</v>
      </c>
      <c r="H118" s="70">
        <v>1</v>
      </c>
    </row>
    <row r="119" spans="1:9" ht="27.75">
      <c r="A119" s="15"/>
      <c r="B119" s="71"/>
      <c r="C119" s="72"/>
      <c r="D119" s="73" t="s">
        <v>207</v>
      </c>
      <c r="E119" s="86"/>
      <c r="F119" s="75"/>
      <c r="G119" s="76"/>
      <c r="H119" s="76"/>
    </row>
    <row r="120" spans="1:9" ht="27.75">
      <c r="A120" s="9">
        <v>53</v>
      </c>
      <c r="B120" s="28" t="s">
        <v>9</v>
      </c>
      <c r="C120" s="77" t="s">
        <v>194</v>
      </c>
      <c r="D120" s="78" t="s">
        <v>208</v>
      </c>
      <c r="E120" s="79">
        <f>11700*1.07</f>
        <v>12519</v>
      </c>
      <c r="F120" s="69" t="s">
        <v>191</v>
      </c>
      <c r="G120" s="80" t="s">
        <v>209</v>
      </c>
      <c r="H120" s="80">
        <v>1</v>
      </c>
    </row>
    <row r="121" spans="1:9" ht="27.75">
      <c r="A121" s="15"/>
      <c r="B121" s="81"/>
      <c r="C121" s="77"/>
      <c r="D121" s="78" t="s">
        <v>210</v>
      </c>
      <c r="E121" s="83"/>
      <c r="F121" s="84"/>
      <c r="G121" s="80"/>
      <c r="H121" s="80"/>
    </row>
    <row r="122" spans="1:9" ht="27.75">
      <c r="A122" s="9">
        <v>54</v>
      </c>
      <c r="B122" s="28" t="s">
        <v>9</v>
      </c>
      <c r="C122" s="66" t="s">
        <v>194</v>
      </c>
      <c r="D122" s="67" t="s">
        <v>211</v>
      </c>
      <c r="E122" s="68">
        <f>3250*1.07</f>
        <v>3477.5</v>
      </c>
      <c r="F122" s="69" t="s">
        <v>191</v>
      </c>
      <c r="G122" s="70" t="s">
        <v>212</v>
      </c>
      <c r="H122" s="70">
        <v>1</v>
      </c>
    </row>
    <row r="123" spans="1:9" ht="27.75">
      <c r="A123" s="15"/>
      <c r="B123" s="85"/>
      <c r="C123" s="72"/>
      <c r="D123" s="73"/>
      <c r="E123" s="86"/>
      <c r="F123" s="87"/>
      <c r="G123" s="76"/>
      <c r="H123" s="76"/>
    </row>
    <row r="124" spans="1:9" s="43" customFormat="1" ht="27.75">
      <c r="A124" s="42"/>
      <c r="B124" s="91"/>
      <c r="C124" s="78"/>
      <c r="D124" s="78"/>
      <c r="E124" s="112"/>
      <c r="F124" s="91"/>
      <c r="G124" s="84"/>
      <c r="H124" s="84"/>
    </row>
    <row r="125" spans="1:9" ht="29.25" customHeight="1">
      <c r="A125" s="330" t="s">
        <v>561</v>
      </c>
      <c r="B125" s="332" t="s">
        <v>0</v>
      </c>
      <c r="C125" s="329" t="s">
        <v>1</v>
      </c>
      <c r="D125" s="329" t="s">
        <v>2</v>
      </c>
      <c r="E125" s="329" t="s">
        <v>3</v>
      </c>
      <c r="F125" s="329" t="s">
        <v>4</v>
      </c>
      <c r="G125" s="329"/>
      <c r="H125" s="330" t="s">
        <v>5</v>
      </c>
      <c r="I125" s="5"/>
    </row>
    <row r="126" spans="1:9" ht="55.5" customHeight="1">
      <c r="A126" s="331"/>
      <c r="B126" s="333"/>
      <c r="C126" s="329"/>
      <c r="D126" s="329"/>
      <c r="E126" s="329"/>
      <c r="F126" s="6" t="s">
        <v>6</v>
      </c>
      <c r="G126" s="6" t="s">
        <v>7</v>
      </c>
      <c r="H126" s="331"/>
    </row>
    <row r="127" spans="1:9" ht="27.75">
      <c r="A127" s="9">
        <v>55</v>
      </c>
      <c r="B127" s="28" t="s">
        <v>9</v>
      </c>
      <c r="C127" s="77" t="s">
        <v>194</v>
      </c>
      <c r="D127" s="78" t="s">
        <v>213</v>
      </c>
      <c r="E127" s="79">
        <f>3450*1.07</f>
        <v>3691.5</v>
      </c>
      <c r="F127" s="69" t="s">
        <v>191</v>
      </c>
      <c r="G127" s="80" t="s">
        <v>214</v>
      </c>
      <c r="H127" s="70">
        <v>1</v>
      </c>
    </row>
    <row r="128" spans="1:9" ht="27.75">
      <c r="A128" s="15"/>
      <c r="B128" s="81"/>
      <c r="C128" s="77"/>
      <c r="D128" s="78" t="s">
        <v>215</v>
      </c>
      <c r="E128" s="83"/>
      <c r="F128" s="84"/>
      <c r="G128" s="80"/>
      <c r="H128" s="76"/>
    </row>
    <row r="129" spans="1:8" ht="27.75">
      <c r="A129" s="9">
        <v>56</v>
      </c>
      <c r="B129" s="28" t="s">
        <v>9</v>
      </c>
      <c r="C129" s="66" t="s">
        <v>216</v>
      </c>
      <c r="D129" s="67" t="s">
        <v>217</v>
      </c>
      <c r="E129" s="68">
        <f>1520*1.07</f>
        <v>1626.4</v>
      </c>
      <c r="F129" s="69" t="s">
        <v>191</v>
      </c>
      <c r="G129" s="70" t="s">
        <v>218</v>
      </c>
      <c r="H129" s="70">
        <v>1</v>
      </c>
    </row>
    <row r="130" spans="1:8" ht="27.75">
      <c r="A130" s="15"/>
      <c r="B130" s="71"/>
      <c r="C130" s="72"/>
      <c r="D130" s="73"/>
      <c r="E130" s="74"/>
      <c r="F130" s="75"/>
      <c r="G130" s="76"/>
      <c r="H130" s="76"/>
    </row>
    <row r="131" spans="1:8" ht="27.75">
      <c r="A131" s="9">
        <v>57</v>
      </c>
      <c r="B131" s="97" t="s">
        <v>100</v>
      </c>
      <c r="C131" s="98" t="s">
        <v>101</v>
      </c>
      <c r="D131" s="99" t="s">
        <v>544</v>
      </c>
      <c r="E131" s="100">
        <v>2070236</v>
      </c>
      <c r="F131" s="101" t="s">
        <v>191</v>
      </c>
      <c r="G131" s="102" t="s">
        <v>545</v>
      </c>
      <c r="H131" s="70">
        <v>1</v>
      </c>
    </row>
    <row r="132" spans="1:8" ht="27.75">
      <c r="A132" s="15"/>
      <c r="B132" s="76"/>
      <c r="C132" s="73"/>
      <c r="D132" s="103" t="s">
        <v>546</v>
      </c>
      <c r="E132" s="104"/>
      <c r="F132" s="76"/>
      <c r="G132" s="76"/>
      <c r="H132" s="76"/>
    </row>
    <row r="133" spans="1:8" ht="27.75">
      <c r="A133" s="9">
        <v>58</v>
      </c>
      <c r="B133" s="97" t="s">
        <v>100</v>
      </c>
      <c r="C133" s="98" t="s">
        <v>101</v>
      </c>
      <c r="D133" s="99" t="s">
        <v>544</v>
      </c>
      <c r="E133" s="100">
        <v>1204071</v>
      </c>
      <c r="F133" s="101" t="s">
        <v>191</v>
      </c>
      <c r="G133" s="102" t="s">
        <v>547</v>
      </c>
      <c r="H133" s="70">
        <v>1</v>
      </c>
    </row>
    <row r="134" spans="1:8" ht="27.75">
      <c r="A134" s="15"/>
      <c r="B134" s="76"/>
      <c r="C134" s="73"/>
      <c r="D134" s="72" t="s">
        <v>548</v>
      </c>
      <c r="E134" s="104"/>
      <c r="F134" s="76"/>
      <c r="G134" s="76"/>
      <c r="H134" s="76"/>
    </row>
    <row r="135" spans="1:8" ht="27.75">
      <c r="A135" s="9">
        <v>59</v>
      </c>
      <c r="B135" s="105" t="s">
        <v>100</v>
      </c>
      <c r="C135" s="98" t="s">
        <v>101</v>
      </c>
      <c r="D135" s="99" t="s">
        <v>544</v>
      </c>
      <c r="E135" s="100">
        <v>1898715</v>
      </c>
      <c r="F135" s="101" t="s">
        <v>191</v>
      </c>
      <c r="G135" s="102" t="s">
        <v>549</v>
      </c>
      <c r="H135" s="70">
        <v>1</v>
      </c>
    </row>
    <row r="136" spans="1:8" ht="27.75">
      <c r="A136" s="15"/>
      <c r="B136" s="76"/>
      <c r="C136" s="73"/>
      <c r="D136" s="103" t="s">
        <v>550</v>
      </c>
      <c r="E136" s="104"/>
      <c r="F136" s="76"/>
      <c r="G136" s="76"/>
      <c r="H136" s="76"/>
    </row>
    <row r="137" spans="1:8" ht="27.75">
      <c r="A137" s="9">
        <v>60</v>
      </c>
      <c r="B137" s="95" t="s">
        <v>45</v>
      </c>
      <c r="C137" s="66" t="s">
        <v>219</v>
      </c>
      <c r="D137" s="67" t="s">
        <v>220</v>
      </c>
      <c r="E137" s="68">
        <f>47500*1.07</f>
        <v>50825</v>
      </c>
      <c r="F137" s="69" t="s">
        <v>221</v>
      </c>
      <c r="G137" s="70" t="s">
        <v>222</v>
      </c>
      <c r="H137" s="70">
        <v>1</v>
      </c>
    </row>
    <row r="138" spans="1:8" ht="27.75">
      <c r="A138" s="15"/>
      <c r="B138" s="71"/>
      <c r="C138" s="72"/>
      <c r="D138" s="73" t="s">
        <v>223</v>
      </c>
      <c r="E138" s="74"/>
      <c r="F138" s="75"/>
      <c r="G138" s="76"/>
      <c r="H138" s="76"/>
    </row>
    <row r="139" spans="1:8" ht="27.75">
      <c r="A139" s="9">
        <v>61</v>
      </c>
      <c r="B139" s="36" t="s">
        <v>14</v>
      </c>
      <c r="C139" s="66" t="s">
        <v>15</v>
      </c>
      <c r="D139" s="67" t="s">
        <v>224</v>
      </c>
      <c r="E139" s="68">
        <f>25900*1.07</f>
        <v>27713</v>
      </c>
      <c r="F139" s="69" t="s">
        <v>221</v>
      </c>
      <c r="G139" s="70" t="s">
        <v>225</v>
      </c>
      <c r="H139" s="70">
        <v>1</v>
      </c>
    </row>
    <row r="140" spans="1:8" ht="27.75">
      <c r="A140" s="15"/>
      <c r="B140" s="76"/>
      <c r="C140" s="72"/>
      <c r="D140" s="89" t="s">
        <v>226</v>
      </c>
      <c r="E140" s="74"/>
      <c r="F140" s="75"/>
      <c r="G140" s="76"/>
      <c r="H140" s="76"/>
    </row>
    <row r="141" spans="1:8" ht="27.75">
      <c r="A141" s="9">
        <v>62</v>
      </c>
      <c r="B141" s="28" t="s">
        <v>9</v>
      </c>
      <c r="C141" s="77" t="s">
        <v>194</v>
      </c>
      <c r="D141" s="78" t="s">
        <v>227</v>
      </c>
      <c r="E141" s="79">
        <f>25150*1.07</f>
        <v>26910.5</v>
      </c>
      <c r="F141" s="69" t="s">
        <v>221</v>
      </c>
      <c r="G141" s="80" t="s">
        <v>228</v>
      </c>
      <c r="H141" s="80">
        <v>1</v>
      </c>
    </row>
    <row r="142" spans="1:8" ht="27.75">
      <c r="A142" s="15"/>
      <c r="B142" s="81"/>
      <c r="C142" s="77"/>
      <c r="D142" s="78" t="s">
        <v>226</v>
      </c>
      <c r="E142" s="83"/>
      <c r="F142" s="84"/>
      <c r="G142" s="80"/>
      <c r="H142" s="80"/>
    </row>
    <row r="143" spans="1:8" ht="27.75">
      <c r="A143" s="9">
        <v>63</v>
      </c>
      <c r="B143" s="24" t="s">
        <v>141</v>
      </c>
      <c r="C143" s="66" t="s">
        <v>142</v>
      </c>
      <c r="D143" s="67" t="s">
        <v>229</v>
      </c>
      <c r="E143" s="68">
        <f>65000*1.07</f>
        <v>69550</v>
      </c>
      <c r="F143" s="69" t="s">
        <v>221</v>
      </c>
      <c r="G143" s="70" t="s">
        <v>230</v>
      </c>
      <c r="H143" s="70">
        <v>1</v>
      </c>
    </row>
    <row r="144" spans="1:8" ht="27.75">
      <c r="A144" s="15"/>
      <c r="B144" s="76"/>
      <c r="C144" s="72"/>
      <c r="D144" s="73" t="s">
        <v>226</v>
      </c>
      <c r="E144" s="74"/>
      <c r="F144" s="75"/>
      <c r="G144" s="76"/>
      <c r="H144" s="76"/>
    </row>
    <row r="145" spans="1:9" ht="27.75">
      <c r="A145" s="9">
        <v>64</v>
      </c>
      <c r="B145" s="95" t="s">
        <v>141</v>
      </c>
      <c r="C145" s="66" t="s">
        <v>142</v>
      </c>
      <c r="D145" s="67" t="s">
        <v>231</v>
      </c>
      <c r="E145" s="68">
        <f>11360*1.07</f>
        <v>12155.2</v>
      </c>
      <c r="F145" s="69" t="s">
        <v>221</v>
      </c>
      <c r="G145" s="70" t="s">
        <v>232</v>
      </c>
      <c r="H145" s="70">
        <v>1</v>
      </c>
    </row>
    <row r="146" spans="1:9" ht="27.75">
      <c r="A146" s="15"/>
      <c r="B146" s="71"/>
      <c r="C146" s="72"/>
      <c r="D146" s="73" t="s">
        <v>226</v>
      </c>
      <c r="E146" s="74"/>
      <c r="F146" s="75"/>
      <c r="G146" s="76"/>
      <c r="H146" s="76"/>
    </row>
    <row r="147" spans="1:9" ht="27.75">
      <c r="A147" s="9">
        <v>65</v>
      </c>
      <c r="B147" s="70" t="s">
        <v>176</v>
      </c>
      <c r="C147" s="66" t="s">
        <v>177</v>
      </c>
      <c r="D147" s="67" t="s">
        <v>233</v>
      </c>
      <c r="E147" s="68">
        <f>2970*1.07</f>
        <v>3177.9</v>
      </c>
      <c r="F147" s="69" t="s">
        <v>221</v>
      </c>
      <c r="G147" s="70" t="s">
        <v>234</v>
      </c>
      <c r="H147" s="80">
        <v>1</v>
      </c>
    </row>
    <row r="148" spans="1:9" ht="27.75">
      <c r="A148" s="15"/>
      <c r="B148" s="76"/>
      <c r="C148" s="72"/>
      <c r="D148" s="73"/>
      <c r="E148" s="74"/>
      <c r="F148" s="75"/>
      <c r="G148" s="76"/>
      <c r="H148" s="80"/>
    </row>
    <row r="149" spans="1:9" ht="27.75">
      <c r="A149" s="9">
        <v>66</v>
      </c>
      <c r="B149" s="81" t="s">
        <v>183</v>
      </c>
      <c r="C149" s="77" t="s">
        <v>184</v>
      </c>
      <c r="D149" s="78" t="s">
        <v>235</v>
      </c>
      <c r="E149" s="79">
        <f>9990*1.07</f>
        <v>10689.300000000001</v>
      </c>
      <c r="F149" s="69" t="s">
        <v>221</v>
      </c>
      <c r="G149" s="80" t="s">
        <v>236</v>
      </c>
      <c r="H149" s="70">
        <v>1</v>
      </c>
    </row>
    <row r="150" spans="1:9" ht="27.75">
      <c r="A150" s="15"/>
      <c r="B150" s="81"/>
      <c r="C150" s="77"/>
      <c r="D150" s="78" t="s">
        <v>237</v>
      </c>
      <c r="E150" s="83"/>
      <c r="F150" s="84"/>
      <c r="G150" s="80"/>
      <c r="H150" s="76"/>
    </row>
    <row r="151" spans="1:9" ht="27.75">
      <c r="A151" s="9">
        <v>67</v>
      </c>
      <c r="B151" s="106" t="s">
        <v>238</v>
      </c>
      <c r="C151" s="66" t="s">
        <v>239</v>
      </c>
      <c r="D151" s="67" t="s">
        <v>240</v>
      </c>
      <c r="E151" s="68">
        <f>6150*1.07</f>
        <v>6580.5</v>
      </c>
      <c r="F151" s="69" t="s">
        <v>221</v>
      </c>
      <c r="G151" s="70" t="s">
        <v>241</v>
      </c>
      <c r="H151" s="70">
        <v>1</v>
      </c>
    </row>
    <row r="152" spans="1:9" ht="27.75">
      <c r="A152" s="15"/>
      <c r="B152" s="71"/>
      <c r="C152" s="72"/>
      <c r="D152" s="73" t="s">
        <v>242</v>
      </c>
      <c r="E152" s="74"/>
      <c r="F152" s="75"/>
      <c r="G152" s="76"/>
      <c r="H152" s="76"/>
    </row>
    <row r="153" spans="1:9" ht="27.75">
      <c r="A153" s="9">
        <v>68</v>
      </c>
      <c r="B153" s="28" t="s">
        <v>54</v>
      </c>
      <c r="C153" s="66" t="s">
        <v>243</v>
      </c>
      <c r="D153" s="67" t="s">
        <v>244</v>
      </c>
      <c r="E153" s="68">
        <f>4900*1.07</f>
        <v>5243</v>
      </c>
      <c r="F153" s="69" t="s">
        <v>245</v>
      </c>
      <c r="G153" s="70" t="s">
        <v>246</v>
      </c>
      <c r="H153" s="70">
        <v>1</v>
      </c>
    </row>
    <row r="154" spans="1:9" ht="27.75">
      <c r="A154" s="15"/>
      <c r="B154" s="71"/>
      <c r="C154" s="72"/>
      <c r="D154" s="89" t="s">
        <v>138</v>
      </c>
      <c r="E154" s="74"/>
      <c r="F154" s="75"/>
      <c r="G154" s="76"/>
      <c r="H154" s="76"/>
    </row>
    <row r="155" spans="1:9" s="43" customFormat="1" ht="27.75">
      <c r="A155" s="42"/>
      <c r="B155" s="84"/>
      <c r="C155" s="78"/>
      <c r="D155" s="82"/>
      <c r="E155" s="94"/>
      <c r="F155" s="84"/>
      <c r="G155" s="84"/>
      <c r="H155" s="84"/>
    </row>
    <row r="156" spans="1:9" ht="29.25" customHeight="1">
      <c r="A156" s="330" t="s">
        <v>561</v>
      </c>
      <c r="B156" s="332" t="s">
        <v>0</v>
      </c>
      <c r="C156" s="329" t="s">
        <v>1</v>
      </c>
      <c r="D156" s="329" t="s">
        <v>2</v>
      </c>
      <c r="E156" s="329" t="s">
        <v>3</v>
      </c>
      <c r="F156" s="329" t="s">
        <v>4</v>
      </c>
      <c r="G156" s="329"/>
      <c r="H156" s="330" t="s">
        <v>5</v>
      </c>
      <c r="I156" s="5"/>
    </row>
    <row r="157" spans="1:9" ht="55.5" customHeight="1">
      <c r="A157" s="331"/>
      <c r="B157" s="333"/>
      <c r="C157" s="329"/>
      <c r="D157" s="329"/>
      <c r="E157" s="329"/>
      <c r="F157" s="6" t="s">
        <v>6</v>
      </c>
      <c r="G157" s="6" t="s">
        <v>7</v>
      </c>
      <c r="H157" s="331"/>
    </row>
    <row r="158" spans="1:9" ht="27.75">
      <c r="A158" s="9">
        <v>69</v>
      </c>
      <c r="B158" s="28" t="s">
        <v>54</v>
      </c>
      <c r="C158" s="66" t="s">
        <v>243</v>
      </c>
      <c r="D158" s="67" t="s">
        <v>247</v>
      </c>
      <c r="E158" s="68">
        <f>29800*1.07</f>
        <v>31886.000000000004</v>
      </c>
      <c r="F158" s="69" t="s">
        <v>245</v>
      </c>
      <c r="G158" s="70" t="s">
        <v>248</v>
      </c>
      <c r="H158" s="70">
        <v>1</v>
      </c>
    </row>
    <row r="159" spans="1:9" ht="27.75">
      <c r="A159" s="15"/>
      <c r="B159" s="71"/>
      <c r="C159" s="72"/>
      <c r="D159" s="73" t="s">
        <v>249</v>
      </c>
      <c r="E159" s="74"/>
      <c r="F159" s="75"/>
      <c r="G159" s="76"/>
      <c r="H159" s="76"/>
    </row>
    <row r="160" spans="1:9" ht="27.75">
      <c r="A160" s="9">
        <v>70</v>
      </c>
      <c r="B160" s="88" t="s">
        <v>250</v>
      </c>
      <c r="C160" s="77" t="s">
        <v>251</v>
      </c>
      <c r="D160" s="78" t="s">
        <v>252</v>
      </c>
      <c r="E160" s="79">
        <f>34000*1.07</f>
        <v>36380</v>
      </c>
      <c r="F160" s="69" t="s">
        <v>245</v>
      </c>
      <c r="G160" s="80" t="s">
        <v>253</v>
      </c>
      <c r="H160" s="70">
        <v>1</v>
      </c>
    </row>
    <row r="161" spans="1:8" ht="27.75">
      <c r="A161" s="15"/>
      <c r="B161" s="81"/>
      <c r="C161" s="77"/>
      <c r="D161" s="78" t="s">
        <v>254</v>
      </c>
      <c r="E161" s="83"/>
      <c r="F161" s="84"/>
      <c r="G161" s="80"/>
      <c r="H161" s="76"/>
    </row>
    <row r="162" spans="1:8" ht="27.75">
      <c r="A162" s="9">
        <v>71</v>
      </c>
      <c r="B162" s="36" t="s">
        <v>14</v>
      </c>
      <c r="C162" s="66" t="s">
        <v>15</v>
      </c>
      <c r="D162" s="67" t="s">
        <v>255</v>
      </c>
      <c r="E162" s="68">
        <f>3000*1.07</f>
        <v>3210</v>
      </c>
      <c r="F162" s="69" t="s">
        <v>245</v>
      </c>
      <c r="G162" s="70" t="s">
        <v>256</v>
      </c>
      <c r="H162" s="80">
        <v>1</v>
      </c>
    </row>
    <row r="163" spans="1:8" ht="27.75">
      <c r="A163" s="15"/>
      <c r="B163" s="76"/>
      <c r="C163" s="72"/>
      <c r="D163" s="73"/>
      <c r="E163" s="74"/>
      <c r="F163" s="75"/>
      <c r="G163" s="76"/>
      <c r="H163" s="80"/>
    </row>
    <row r="164" spans="1:8" ht="27.75">
      <c r="A164" s="9">
        <v>72</v>
      </c>
      <c r="B164" s="28" t="s">
        <v>54</v>
      </c>
      <c r="C164" s="77" t="s">
        <v>243</v>
      </c>
      <c r="D164" s="78" t="s">
        <v>257</v>
      </c>
      <c r="E164" s="79">
        <f>8084*1.07</f>
        <v>8649.880000000001</v>
      </c>
      <c r="F164" s="69" t="s">
        <v>245</v>
      </c>
      <c r="G164" s="80" t="s">
        <v>258</v>
      </c>
      <c r="H164" s="70">
        <v>1</v>
      </c>
    </row>
    <row r="165" spans="1:8" ht="27.75">
      <c r="A165" s="15"/>
      <c r="B165" s="90"/>
      <c r="C165" s="77"/>
      <c r="D165" s="78"/>
      <c r="E165" s="79"/>
      <c r="F165" s="91"/>
      <c r="G165" s="80"/>
      <c r="H165" s="76"/>
    </row>
    <row r="166" spans="1:8" ht="27.75">
      <c r="A166" s="9">
        <v>73</v>
      </c>
      <c r="B166" s="28" t="s">
        <v>54</v>
      </c>
      <c r="C166" s="66" t="s">
        <v>243</v>
      </c>
      <c r="D166" s="67" t="s">
        <v>259</v>
      </c>
      <c r="E166" s="68">
        <f>42787*1.07</f>
        <v>45782.090000000004</v>
      </c>
      <c r="F166" s="69" t="s">
        <v>245</v>
      </c>
      <c r="G166" s="70" t="s">
        <v>260</v>
      </c>
      <c r="H166" s="70">
        <v>1</v>
      </c>
    </row>
    <row r="167" spans="1:8" ht="27.75">
      <c r="A167" s="15"/>
      <c r="B167" s="71"/>
      <c r="C167" s="72"/>
      <c r="D167" s="73" t="s">
        <v>261</v>
      </c>
      <c r="E167" s="74"/>
      <c r="F167" s="75"/>
      <c r="G167" s="76"/>
      <c r="H167" s="76"/>
    </row>
    <row r="168" spans="1:8" ht="27.75">
      <c r="A168" s="9">
        <v>74</v>
      </c>
      <c r="B168" s="96" t="s">
        <v>200</v>
      </c>
      <c r="C168" s="92" t="s">
        <v>201</v>
      </c>
      <c r="D168" s="67" t="s">
        <v>262</v>
      </c>
      <c r="E168" s="68">
        <f>90000*1.07</f>
        <v>96300</v>
      </c>
      <c r="F168" s="69" t="s">
        <v>245</v>
      </c>
      <c r="G168" s="70" t="s">
        <v>263</v>
      </c>
      <c r="H168" s="70">
        <v>1</v>
      </c>
    </row>
    <row r="169" spans="1:8" ht="27.75">
      <c r="A169" s="15"/>
      <c r="B169" s="76"/>
      <c r="C169" s="93"/>
      <c r="D169" s="73"/>
      <c r="E169" s="74"/>
      <c r="F169" s="75"/>
      <c r="G169" s="76"/>
      <c r="H169" s="76"/>
    </row>
    <row r="170" spans="1:8" ht="27.75">
      <c r="A170" s="9">
        <v>75</v>
      </c>
      <c r="B170" s="57" t="s">
        <v>9</v>
      </c>
      <c r="C170" s="66" t="s">
        <v>50</v>
      </c>
      <c r="D170" s="67" t="s">
        <v>264</v>
      </c>
      <c r="E170" s="68">
        <f>8075*1.07</f>
        <v>8640.25</v>
      </c>
      <c r="F170" s="69" t="s">
        <v>265</v>
      </c>
      <c r="G170" s="70" t="s">
        <v>266</v>
      </c>
      <c r="H170" s="70">
        <v>1</v>
      </c>
    </row>
    <row r="171" spans="1:8" ht="27.75">
      <c r="A171" s="15"/>
      <c r="B171" s="71"/>
      <c r="C171" s="72"/>
      <c r="D171" s="73"/>
      <c r="E171" s="74"/>
      <c r="F171" s="75"/>
      <c r="G171" s="76"/>
      <c r="H171" s="76"/>
    </row>
    <row r="172" spans="1:8" ht="27.75">
      <c r="A172" s="9">
        <v>76</v>
      </c>
      <c r="B172" s="36" t="s">
        <v>14</v>
      </c>
      <c r="C172" s="66" t="s">
        <v>15</v>
      </c>
      <c r="D172" s="67" t="s">
        <v>267</v>
      </c>
      <c r="E172" s="68">
        <f>5560*1.07</f>
        <v>5949.2000000000007</v>
      </c>
      <c r="F172" s="69" t="s">
        <v>265</v>
      </c>
      <c r="G172" s="70" t="s">
        <v>268</v>
      </c>
      <c r="H172" s="70">
        <v>1</v>
      </c>
    </row>
    <row r="173" spans="1:8" ht="27.75">
      <c r="A173" s="15"/>
      <c r="B173" s="71"/>
      <c r="C173" s="72"/>
      <c r="D173" s="73" t="s">
        <v>269</v>
      </c>
      <c r="E173" s="74"/>
      <c r="F173" s="75"/>
      <c r="G173" s="76"/>
      <c r="H173" s="76"/>
    </row>
    <row r="174" spans="1:8" ht="27.75">
      <c r="A174" s="9">
        <v>77</v>
      </c>
      <c r="B174" s="37" t="s">
        <v>58</v>
      </c>
      <c r="C174" s="77" t="s">
        <v>270</v>
      </c>
      <c r="D174" s="78" t="s">
        <v>271</v>
      </c>
      <c r="E174" s="79">
        <f>20000*1.07</f>
        <v>21400</v>
      </c>
      <c r="F174" s="69" t="s">
        <v>265</v>
      </c>
      <c r="G174" s="80" t="s">
        <v>272</v>
      </c>
      <c r="H174" s="80">
        <v>1</v>
      </c>
    </row>
    <row r="175" spans="1:8" ht="27.75">
      <c r="A175" s="15"/>
      <c r="B175" s="81"/>
      <c r="C175" s="77"/>
      <c r="D175" s="78" t="s">
        <v>273</v>
      </c>
      <c r="E175" s="83"/>
      <c r="F175" s="84"/>
      <c r="G175" s="80"/>
      <c r="H175" s="80"/>
    </row>
    <row r="176" spans="1:8" ht="27.75">
      <c r="A176" s="9">
        <v>78</v>
      </c>
      <c r="B176" s="96" t="s">
        <v>274</v>
      </c>
      <c r="C176" s="92" t="s">
        <v>275</v>
      </c>
      <c r="D176" s="67" t="s">
        <v>276</v>
      </c>
      <c r="E176" s="68">
        <f>30000*1.07</f>
        <v>32100.000000000004</v>
      </c>
      <c r="F176" s="69" t="s">
        <v>265</v>
      </c>
      <c r="G176" s="70" t="s">
        <v>277</v>
      </c>
      <c r="H176" s="70">
        <v>1</v>
      </c>
    </row>
    <row r="177" spans="1:8" ht="27.75">
      <c r="A177" s="15"/>
      <c r="B177" s="76"/>
      <c r="C177" s="93"/>
      <c r="D177" s="73"/>
      <c r="E177" s="74"/>
      <c r="F177" s="75"/>
      <c r="G177" s="76"/>
      <c r="H177" s="76"/>
    </row>
    <row r="178" spans="1:8" ht="27.75">
      <c r="A178" s="9">
        <v>79</v>
      </c>
      <c r="B178" s="37" t="s">
        <v>58</v>
      </c>
      <c r="C178" s="66" t="s">
        <v>270</v>
      </c>
      <c r="D178" s="67" t="s">
        <v>278</v>
      </c>
      <c r="E178" s="68">
        <f>16000*1.07</f>
        <v>17120</v>
      </c>
      <c r="F178" s="69" t="s">
        <v>265</v>
      </c>
      <c r="G178" s="70" t="s">
        <v>279</v>
      </c>
      <c r="H178" s="70">
        <v>1</v>
      </c>
    </row>
    <row r="179" spans="1:8" ht="27.75">
      <c r="A179" s="15"/>
      <c r="B179" s="71"/>
      <c r="C179" s="72"/>
      <c r="D179" s="73"/>
      <c r="E179" s="74"/>
      <c r="F179" s="75"/>
      <c r="G179" s="76"/>
      <c r="H179" s="76"/>
    </row>
    <row r="180" spans="1:8" ht="27.75">
      <c r="A180" s="9">
        <v>80</v>
      </c>
      <c r="B180" s="37" t="s">
        <v>27</v>
      </c>
      <c r="C180" s="66" t="s">
        <v>28</v>
      </c>
      <c r="D180" s="67" t="s">
        <v>280</v>
      </c>
      <c r="E180" s="68">
        <f>86100*1.07</f>
        <v>92127</v>
      </c>
      <c r="F180" s="69" t="s">
        <v>265</v>
      </c>
      <c r="G180" s="70" t="s">
        <v>281</v>
      </c>
      <c r="H180" s="70">
        <v>1</v>
      </c>
    </row>
    <row r="181" spans="1:8" ht="27.75">
      <c r="A181" s="15"/>
      <c r="B181" s="76"/>
      <c r="C181" s="72"/>
      <c r="D181" s="73" t="s">
        <v>282</v>
      </c>
      <c r="E181" s="74"/>
      <c r="F181" s="75"/>
      <c r="G181" s="76"/>
      <c r="H181" s="76"/>
    </row>
    <row r="182" spans="1:8" ht="27.75">
      <c r="A182" s="9">
        <v>81</v>
      </c>
      <c r="B182" s="88" t="s">
        <v>141</v>
      </c>
      <c r="C182" s="77" t="s">
        <v>142</v>
      </c>
      <c r="D182" s="78" t="s">
        <v>283</v>
      </c>
      <c r="E182" s="79">
        <f>60200*1.07</f>
        <v>64414.000000000007</v>
      </c>
      <c r="F182" s="69" t="s">
        <v>265</v>
      </c>
      <c r="G182" s="80" t="s">
        <v>284</v>
      </c>
      <c r="H182" s="70">
        <v>1</v>
      </c>
    </row>
    <row r="183" spans="1:8" ht="27.75">
      <c r="A183" s="15"/>
      <c r="B183" s="81"/>
      <c r="C183" s="77"/>
      <c r="D183" s="78"/>
      <c r="E183" s="83"/>
      <c r="F183" s="84"/>
      <c r="G183" s="80"/>
      <c r="H183" s="76"/>
    </row>
    <row r="184" spans="1:8" ht="27.75">
      <c r="A184" s="9">
        <v>82</v>
      </c>
      <c r="B184" s="24" t="s">
        <v>285</v>
      </c>
      <c r="C184" s="66" t="s">
        <v>286</v>
      </c>
      <c r="D184" s="67" t="s">
        <v>287</v>
      </c>
      <c r="E184" s="107">
        <f>83000*1.07</f>
        <v>88810</v>
      </c>
      <c r="F184" s="101" t="s">
        <v>265</v>
      </c>
      <c r="G184" s="108" t="s">
        <v>288</v>
      </c>
      <c r="H184" s="70">
        <v>1</v>
      </c>
    </row>
    <row r="185" spans="1:8" ht="27.75">
      <c r="A185" s="15"/>
      <c r="B185" s="76"/>
      <c r="C185" s="72"/>
      <c r="D185" s="73" t="s">
        <v>289</v>
      </c>
      <c r="E185" s="109"/>
      <c r="F185" s="76"/>
      <c r="G185" s="75"/>
      <c r="H185" s="76"/>
    </row>
    <row r="186" spans="1:8" s="43" customFormat="1" ht="27.75">
      <c r="A186" s="42"/>
      <c r="B186" s="84"/>
      <c r="C186" s="78"/>
      <c r="D186" s="78"/>
      <c r="E186" s="94"/>
      <c r="F186" s="84"/>
      <c r="G186" s="84"/>
      <c r="H186" s="84"/>
    </row>
    <row r="187" spans="1:8" ht="27.75" customHeight="1">
      <c r="A187" s="330" t="s">
        <v>561</v>
      </c>
      <c r="B187" s="332" t="s">
        <v>0</v>
      </c>
      <c r="C187" s="329" t="s">
        <v>1</v>
      </c>
      <c r="D187" s="329" t="s">
        <v>2</v>
      </c>
      <c r="E187" s="329" t="s">
        <v>3</v>
      </c>
      <c r="F187" s="329" t="s">
        <v>4</v>
      </c>
      <c r="G187" s="329"/>
      <c r="H187" s="330" t="s">
        <v>5</v>
      </c>
    </row>
    <row r="188" spans="1:8" ht="54" customHeight="1">
      <c r="A188" s="331"/>
      <c r="B188" s="333"/>
      <c r="C188" s="329"/>
      <c r="D188" s="329"/>
      <c r="E188" s="329"/>
      <c r="F188" s="6" t="s">
        <v>6</v>
      </c>
      <c r="G188" s="6" t="s">
        <v>7</v>
      </c>
      <c r="H188" s="331"/>
    </row>
    <row r="189" spans="1:8" ht="27.75">
      <c r="A189" s="9">
        <v>83</v>
      </c>
      <c r="B189" s="110" t="s">
        <v>124</v>
      </c>
      <c r="C189" s="111" t="s">
        <v>290</v>
      </c>
      <c r="D189" s="66" t="s">
        <v>291</v>
      </c>
      <c r="E189" s="112">
        <f>93000*1.07</f>
        <v>99510</v>
      </c>
      <c r="F189" s="101" t="s">
        <v>292</v>
      </c>
      <c r="G189" s="84" t="s">
        <v>293</v>
      </c>
      <c r="H189" s="70">
        <v>1</v>
      </c>
    </row>
    <row r="190" spans="1:8" ht="27.75">
      <c r="A190" s="15"/>
      <c r="B190" s="80"/>
      <c r="C190" s="111"/>
      <c r="D190" s="77" t="s">
        <v>138</v>
      </c>
      <c r="E190" s="94"/>
      <c r="F190" s="80"/>
      <c r="G190" s="84"/>
      <c r="H190" s="76"/>
    </row>
    <row r="191" spans="1:8" ht="27.75">
      <c r="A191" s="9">
        <v>84</v>
      </c>
      <c r="B191" s="24" t="s">
        <v>294</v>
      </c>
      <c r="C191" s="113" t="s">
        <v>555</v>
      </c>
      <c r="D191" s="66" t="s">
        <v>295</v>
      </c>
      <c r="E191" s="114">
        <f>92000*1.07</f>
        <v>98440</v>
      </c>
      <c r="F191" s="101" t="s">
        <v>292</v>
      </c>
      <c r="G191" s="108" t="s">
        <v>296</v>
      </c>
      <c r="H191" s="80">
        <v>1</v>
      </c>
    </row>
    <row r="192" spans="1:8" ht="27.75">
      <c r="A192" s="15"/>
      <c r="B192" s="76"/>
      <c r="C192" s="115" t="s">
        <v>556</v>
      </c>
      <c r="D192" s="72"/>
      <c r="E192" s="104"/>
      <c r="F192" s="76"/>
      <c r="G192" s="75"/>
      <c r="H192" s="80"/>
    </row>
    <row r="193" spans="1:8" ht="27.75">
      <c r="A193" s="9">
        <v>85</v>
      </c>
      <c r="B193" s="44" t="s">
        <v>162</v>
      </c>
      <c r="C193" s="111" t="s">
        <v>163</v>
      </c>
      <c r="D193" s="77" t="s">
        <v>297</v>
      </c>
      <c r="E193" s="112">
        <f>3000*1.07</f>
        <v>3210</v>
      </c>
      <c r="F193" s="116" t="s">
        <v>298</v>
      </c>
      <c r="G193" s="84" t="s">
        <v>299</v>
      </c>
      <c r="H193" s="70">
        <v>1</v>
      </c>
    </row>
    <row r="194" spans="1:8" ht="27.75">
      <c r="A194" s="15"/>
      <c r="B194" s="76"/>
      <c r="C194" s="111"/>
      <c r="D194" s="77" t="s">
        <v>300</v>
      </c>
      <c r="E194" s="94"/>
      <c r="F194" s="80"/>
      <c r="G194" s="84"/>
      <c r="H194" s="76"/>
    </row>
    <row r="195" spans="1:8" ht="27.75">
      <c r="A195" s="9">
        <v>86</v>
      </c>
      <c r="B195" s="117" t="s">
        <v>162</v>
      </c>
      <c r="C195" s="113" t="s">
        <v>163</v>
      </c>
      <c r="D195" s="66" t="s">
        <v>301</v>
      </c>
      <c r="E195" s="114">
        <f>2850*1.07</f>
        <v>3049.5</v>
      </c>
      <c r="F195" s="101" t="s">
        <v>298</v>
      </c>
      <c r="G195" s="108" t="s">
        <v>302</v>
      </c>
      <c r="H195" s="70">
        <v>1</v>
      </c>
    </row>
    <row r="196" spans="1:8" ht="27.75">
      <c r="A196" s="15"/>
      <c r="B196" s="76"/>
      <c r="C196" s="115"/>
      <c r="D196" s="72" t="s">
        <v>303</v>
      </c>
      <c r="E196" s="104"/>
      <c r="F196" s="76"/>
      <c r="G196" s="75"/>
      <c r="H196" s="76"/>
    </row>
    <row r="197" spans="1:8" ht="27.75">
      <c r="A197" s="9">
        <v>87</v>
      </c>
      <c r="B197" s="37" t="s">
        <v>27</v>
      </c>
      <c r="C197" s="113" t="s">
        <v>80</v>
      </c>
      <c r="D197" s="66" t="s">
        <v>304</v>
      </c>
      <c r="E197" s="114">
        <f>10215*1.07</f>
        <v>10930.050000000001</v>
      </c>
      <c r="F197" s="101" t="s">
        <v>298</v>
      </c>
      <c r="G197" s="108" t="s">
        <v>305</v>
      </c>
      <c r="H197" s="70">
        <v>1</v>
      </c>
    </row>
    <row r="198" spans="1:8" ht="27.75">
      <c r="A198" s="15"/>
      <c r="B198" s="76"/>
      <c r="C198" s="115"/>
      <c r="D198" s="72"/>
      <c r="E198" s="104"/>
      <c r="F198" s="76"/>
      <c r="G198" s="75"/>
      <c r="H198" s="76"/>
    </row>
    <row r="199" spans="1:8" ht="27.75">
      <c r="A199" s="9">
        <v>88</v>
      </c>
      <c r="B199" s="37" t="s">
        <v>27</v>
      </c>
      <c r="C199" s="113" t="s">
        <v>80</v>
      </c>
      <c r="D199" s="118" t="s">
        <v>306</v>
      </c>
      <c r="E199" s="114">
        <f>48500*1.07</f>
        <v>51895</v>
      </c>
      <c r="F199" s="101" t="s">
        <v>298</v>
      </c>
      <c r="G199" s="108" t="s">
        <v>307</v>
      </c>
      <c r="H199" s="70">
        <v>1</v>
      </c>
    </row>
    <row r="200" spans="1:8" ht="27.75">
      <c r="A200" s="15"/>
      <c r="B200" s="76"/>
      <c r="C200" s="115"/>
      <c r="D200" s="74" t="s">
        <v>308</v>
      </c>
      <c r="E200" s="104"/>
      <c r="F200" s="76"/>
      <c r="G200" s="75"/>
      <c r="H200" s="76"/>
    </row>
    <row r="201" spans="1:8" ht="27.75">
      <c r="A201" s="9">
        <v>89</v>
      </c>
      <c r="B201" s="110" t="s">
        <v>124</v>
      </c>
      <c r="C201" s="111" t="s">
        <v>290</v>
      </c>
      <c r="D201" s="77" t="s">
        <v>309</v>
      </c>
      <c r="E201" s="112">
        <f>26000*1.07</f>
        <v>27820</v>
      </c>
      <c r="F201" s="116" t="s">
        <v>298</v>
      </c>
      <c r="G201" s="84" t="s">
        <v>310</v>
      </c>
      <c r="H201" s="70">
        <v>1</v>
      </c>
    </row>
    <row r="202" spans="1:8" ht="27.75">
      <c r="A202" s="15"/>
      <c r="B202" s="80"/>
      <c r="C202" s="111"/>
      <c r="D202" s="77"/>
      <c r="E202" s="94"/>
      <c r="F202" s="80"/>
      <c r="G202" s="84"/>
      <c r="H202" s="76"/>
    </row>
    <row r="203" spans="1:8" ht="27.75">
      <c r="A203" s="9">
        <v>90</v>
      </c>
      <c r="B203" s="119" t="s">
        <v>54</v>
      </c>
      <c r="C203" s="113" t="s">
        <v>243</v>
      </c>
      <c r="D203" s="66" t="s">
        <v>311</v>
      </c>
      <c r="E203" s="114">
        <f>19900*1.07</f>
        <v>21293</v>
      </c>
      <c r="F203" s="101" t="s">
        <v>298</v>
      </c>
      <c r="G203" s="108" t="s">
        <v>312</v>
      </c>
      <c r="H203" s="70">
        <v>1</v>
      </c>
    </row>
    <row r="204" spans="1:8" ht="27.75">
      <c r="A204" s="15"/>
      <c r="B204" s="76"/>
      <c r="C204" s="115"/>
      <c r="D204" s="72"/>
      <c r="E204" s="104"/>
      <c r="F204" s="76"/>
      <c r="G204" s="75"/>
      <c r="H204" s="76"/>
    </row>
    <row r="205" spans="1:8" ht="27.75">
      <c r="A205" s="9">
        <v>91</v>
      </c>
      <c r="B205" s="24" t="s">
        <v>158</v>
      </c>
      <c r="C205" s="78" t="s">
        <v>159</v>
      </c>
      <c r="D205" s="118" t="s">
        <v>313</v>
      </c>
      <c r="E205" s="112">
        <f>1200*1.07</f>
        <v>1284</v>
      </c>
      <c r="F205" s="101" t="s">
        <v>298</v>
      </c>
      <c r="G205" s="84" t="s">
        <v>314</v>
      </c>
      <c r="H205" s="70">
        <v>1</v>
      </c>
    </row>
    <row r="206" spans="1:8" ht="27.75">
      <c r="A206" s="15"/>
      <c r="B206" s="80"/>
      <c r="C206" s="78"/>
      <c r="D206" s="77" t="s">
        <v>315</v>
      </c>
      <c r="E206" s="94"/>
      <c r="F206" s="80"/>
      <c r="G206" s="84"/>
      <c r="H206" s="76"/>
    </row>
    <row r="207" spans="1:8" ht="27.75">
      <c r="A207" s="9">
        <v>92</v>
      </c>
      <c r="B207" s="44" t="s">
        <v>40</v>
      </c>
      <c r="C207" s="67" t="s">
        <v>41</v>
      </c>
      <c r="D207" s="66" t="s">
        <v>316</v>
      </c>
      <c r="E207" s="114">
        <f>44000*1.07</f>
        <v>47080</v>
      </c>
      <c r="F207" s="101" t="s">
        <v>298</v>
      </c>
      <c r="G207" s="108" t="s">
        <v>317</v>
      </c>
      <c r="H207" s="80">
        <v>1</v>
      </c>
    </row>
    <row r="208" spans="1:8" ht="27.75">
      <c r="A208" s="15"/>
      <c r="B208" s="76"/>
      <c r="C208" s="73"/>
      <c r="D208" s="72"/>
      <c r="E208" s="104"/>
      <c r="F208" s="76"/>
      <c r="G208" s="75"/>
      <c r="H208" s="80"/>
    </row>
    <row r="209" spans="1:8" ht="27.75">
      <c r="A209" s="9">
        <v>93</v>
      </c>
      <c r="B209" s="119" t="s">
        <v>54</v>
      </c>
      <c r="C209" s="78" t="s">
        <v>243</v>
      </c>
      <c r="D209" s="77" t="s">
        <v>318</v>
      </c>
      <c r="E209" s="112">
        <f>7306*1.07</f>
        <v>7817.42</v>
      </c>
      <c r="F209" s="116" t="s">
        <v>298</v>
      </c>
      <c r="G209" s="84" t="s">
        <v>319</v>
      </c>
      <c r="H209" s="70">
        <v>1</v>
      </c>
    </row>
    <row r="210" spans="1:8" ht="27.75">
      <c r="A210" s="15"/>
      <c r="B210" s="76"/>
      <c r="C210" s="73"/>
      <c r="D210" s="72"/>
      <c r="E210" s="104"/>
      <c r="F210" s="76"/>
      <c r="G210" s="75"/>
      <c r="H210" s="76"/>
    </row>
    <row r="211" spans="1:8" ht="27.75">
      <c r="A211" s="9">
        <v>94</v>
      </c>
      <c r="B211" s="95" t="s">
        <v>320</v>
      </c>
      <c r="C211" s="120" t="s">
        <v>321</v>
      </c>
      <c r="D211" s="120" t="s">
        <v>322</v>
      </c>
      <c r="E211" s="114">
        <f>25000*1.07</f>
        <v>26750</v>
      </c>
      <c r="F211" s="101" t="s">
        <v>298</v>
      </c>
      <c r="G211" s="108" t="s">
        <v>323</v>
      </c>
      <c r="H211" s="70">
        <v>1</v>
      </c>
    </row>
    <row r="212" spans="1:8" ht="27.75">
      <c r="A212" s="15"/>
      <c r="B212" s="71"/>
      <c r="C212" s="121"/>
      <c r="D212" s="121"/>
      <c r="E212" s="104"/>
      <c r="F212" s="76"/>
      <c r="G212" s="75"/>
      <c r="H212" s="76"/>
    </row>
    <row r="213" spans="1:8" ht="27.75">
      <c r="A213" s="9">
        <v>95</v>
      </c>
      <c r="B213" s="95" t="s">
        <v>324</v>
      </c>
      <c r="C213" s="120" t="s">
        <v>325</v>
      </c>
      <c r="D213" s="120" t="s">
        <v>326</v>
      </c>
      <c r="E213" s="114">
        <f>7000*1.07</f>
        <v>7490</v>
      </c>
      <c r="F213" s="101" t="s">
        <v>327</v>
      </c>
      <c r="G213" s="108" t="s">
        <v>328</v>
      </c>
      <c r="H213" s="70">
        <v>1</v>
      </c>
    </row>
    <row r="214" spans="1:8" ht="27.75">
      <c r="A214" s="15"/>
      <c r="B214" s="71"/>
      <c r="C214" s="121"/>
      <c r="D214" s="121"/>
      <c r="E214" s="104"/>
      <c r="F214" s="76"/>
      <c r="G214" s="75"/>
      <c r="H214" s="76"/>
    </row>
    <row r="215" spans="1:8" ht="27.75">
      <c r="A215" s="9">
        <v>96</v>
      </c>
      <c r="B215" s="122" t="s">
        <v>9</v>
      </c>
      <c r="C215" s="120" t="s">
        <v>50</v>
      </c>
      <c r="D215" s="120" t="s">
        <v>329</v>
      </c>
      <c r="E215" s="114">
        <f>2240*1.07</f>
        <v>2396.8000000000002</v>
      </c>
      <c r="F215" s="101" t="s">
        <v>327</v>
      </c>
      <c r="G215" s="108" t="s">
        <v>330</v>
      </c>
      <c r="H215" s="70">
        <v>1</v>
      </c>
    </row>
    <row r="216" spans="1:8" ht="27.75">
      <c r="A216" s="15"/>
      <c r="B216" s="71"/>
      <c r="C216" s="121"/>
      <c r="D216" s="121" t="s">
        <v>138</v>
      </c>
      <c r="E216" s="104"/>
      <c r="F216" s="76"/>
      <c r="G216" s="75"/>
      <c r="H216" s="76"/>
    </row>
    <row r="217" spans="1:8" ht="27.75">
      <c r="A217" s="9">
        <v>97</v>
      </c>
      <c r="B217" s="119" t="s">
        <v>124</v>
      </c>
      <c r="C217" s="123" t="s">
        <v>290</v>
      </c>
      <c r="D217" s="120" t="s">
        <v>331</v>
      </c>
      <c r="E217" s="114">
        <f>26000*1.07</f>
        <v>27820</v>
      </c>
      <c r="F217" s="101" t="s">
        <v>327</v>
      </c>
      <c r="G217" s="108" t="s">
        <v>332</v>
      </c>
      <c r="H217" s="70">
        <v>1</v>
      </c>
    </row>
    <row r="218" spans="1:8" ht="27.75">
      <c r="A218" s="15"/>
      <c r="B218" s="76"/>
      <c r="C218" s="124"/>
      <c r="D218" s="121"/>
      <c r="E218" s="104"/>
      <c r="F218" s="76"/>
      <c r="G218" s="75"/>
      <c r="H218" s="76"/>
    </row>
    <row r="219" spans="1:8" ht="27.75" customHeight="1">
      <c r="A219" s="330" t="s">
        <v>561</v>
      </c>
      <c r="B219" s="332" t="s">
        <v>0</v>
      </c>
      <c r="C219" s="329" t="s">
        <v>1</v>
      </c>
      <c r="D219" s="329" t="s">
        <v>2</v>
      </c>
      <c r="E219" s="329" t="s">
        <v>3</v>
      </c>
      <c r="F219" s="329" t="s">
        <v>4</v>
      </c>
      <c r="G219" s="329"/>
      <c r="H219" s="330" t="s">
        <v>5</v>
      </c>
    </row>
    <row r="220" spans="1:8" ht="54" customHeight="1">
      <c r="A220" s="331"/>
      <c r="B220" s="333"/>
      <c r="C220" s="329"/>
      <c r="D220" s="329"/>
      <c r="E220" s="329"/>
      <c r="F220" s="6" t="s">
        <v>6</v>
      </c>
      <c r="G220" s="6" t="s">
        <v>7</v>
      </c>
      <c r="H220" s="331"/>
    </row>
    <row r="221" spans="1:8" ht="27.75">
      <c r="A221" s="9">
        <v>98</v>
      </c>
      <c r="B221" s="70" t="s">
        <v>176</v>
      </c>
      <c r="C221" s="123" t="s">
        <v>333</v>
      </c>
      <c r="D221" s="120" t="s">
        <v>334</v>
      </c>
      <c r="E221" s="114">
        <f>8160*1.07</f>
        <v>8731.2000000000007</v>
      </c>
      <c r="F221" s="101" t="s">
        <v>327</v>
      </c>
      <c r="G221" s="108" t="s">
        <v>335</v>
      </c>
      <c r="H221" s="70">
        <v>1</v>
      </c>
    </row>
    <row r="222" spans="1:8" ht="27.75">
      <c r="A222" s="15"/>
      <c r="B222" s="76"/>
      <c r="C222" s="124"/>
      <c r="D222" s="121" t="s">
        <v>336</v>
      </c>
      <c r="E222" s="104"/>
      <c r="F222" s="76"/>
      <c r="G222" s="75"/>
      <c r="H222" s="76"/>
    </row>
    <row r="223" spans="1:8" ht="27.75">
      <c r="A223" s="9">
        <v>99</v>
      </c>
      <c r="B223" s="95" t="s">
        <v>200</v>
      </c>
      <c r="C223" s="120" t="s">
        <v>337</v>
      </c>
      <c r="D223" s="120" t="s">
        <v>338</v>
      </c>
      <c r="E223" s="114">
        <f>6700*1.07</f>
        <v>7169</v>
      </c>
      <c r="F223" s="101" t="s">
        <v>327</v>
      </c>
      <c r="G223" s="70" t="s">
        <v>339</v>
      </c>
      <c r="H223" s="70">
        <v>1</v>
      </c>
    </row>
    <row r="224" spans="1:8" ht="27.75">
      <c r="A224" s="15"/>
      <c r="B224" s="71"/>
      <c r="C224" s="121"/>
      <c r="D224" s="121" t="s">
        <v>138</v>
      </c>
      <c r="E224" s="104"/>
      <c r="F224" s="76"/>
      <c r="G224" s="76"/>
      <c r="H224" s="76"/>
    </row>
    <row r="225" spans="1:8" ht="27.75">
      <c r="A225" s="9">
        <v>100</v>
      </c>
      <c r="B225" s="95" t="s">
        <v>141</v>
      </c>
      <c r="C225" s="125" t="s">
        <v>340</v>
      </c>
      <c r="D225" s="125" t="s">
        <v>341</v>
      </c>
      <c r="E225" s="112">
        <f>21850*1.07</f>
        <v>23379.5</v>
      </c>
      <c r="F225" s="116" t="s">
        <v>327</v>
      </c>
      <c r="G225" s="80" t="s">
        <v>342</v>
      </c>
      <c r="H225" s="70">
        <v>1</v>
      </c>
    </row>
    <row r="226" spans="1:8" ht="27.75">
      <c r="A226" s="15"/>
      <c r="B226" s="71"/>
      <c r="C226" s="121"/>
      <c r="D226" s="121" t="s">
        <v>138</v>
      </c>
      <c r="E226" s="104"/>
      <c r="F226" s="76"/>
      <c r="G226" s="76"/>
      <c r="H226" s="76"/>
    </row>
    <row r="227" spans="1:8" ht="27.75">
      <c r="A227" s="9">
        <v>101</v>
      </c>
      <c r="B227" s="24" t="s">
        <v>343</v>
      </c>
      <c r="C227" s="120" t="s">
        <v>344</v>
      </c>
      <c r="D227" s="120" t="s">
        <v>345</v>
      </c>
      <c r="E227" s="114">
        <f>6500*1.07</f>
        <v>6955</v>
      </c>
      <c r="F227" s="101" t="s">
        <v>327</v>
      </c>
      <c r="G227" s="70" t="s">
        <v>346</v>
      </c>
      <c r="H227" s="70">
        <v>1</v>
      </c>
    </row>
    <row r="228" spans="1:8" ht="27.75">
      <c r="A228" s="15"/>
      <c r="B228" s="76"/>
      <c r="C228" s="121"/>
      <c r="D228" s="121"/>
      <c r="E228" s="104"/>
      <c r="F228" s="76"/>
      <c r="G228" s="76"/>
      <c r="H228" s="76"/>
    </row>
    <row r="229" spans="1:8" ht="27.75">
      <c r="A229" s="9">
        <v>102</v>
      </c>
      <c r="B229" s="28" t="s">
        <v>9</v>
      </c>
      <c r="C229" s="123" t="s">
        <v>50</v>
      </c>
      <c r="D229" s="120" t="s">
        <v>347</v>
      </c>
      <c r="E229" s="114">
        <f>11660*1.07</f>
        <v>12476.2</v>
      </c>
      <c r="F229" s="101" t="s">
        <v>327</v>
      </c>
      <c r="G229" s="70" t="s">
        <v>348</v>
      </c>
      <c r="H229" s="70">
        <v>1</v>
      </c>
    </row>
    <row r="230" spans="1:8" ht="27.75">
      <c r="A230" s="15"/>
      <c r="B230" s="76"/>
      <c r="C230" s="124"/>
      <c r="D230" s="121" t="s">
        <v>349</v>
      </c>
      <c r="E230" s="104"/>
      <c r="F230" s="76"/>
      <c r="G230" s="76"/>
      <c r="H230" s="76"/>
    </row>
    <row r="231" spans="1:8" ht="27.75">
      <c r="A231" s="9">
        <v>103</v>
      </c>
      <c r="B231" s="24" t="s">
        <v>141</v>
      </c>
      <c r="C231" s="123" t="s">
        <v>350</v>
      </c>
      <c r="D231" s="120" t="s">
        <v>351</v>
      </c>
      <c r="E231" s="114">
        <f>19130*1.07</f>
        <v>20469.100000000002</v>
      </c>
      <c r="F231" s="101" t="s">
        <v>327</v>
      </c>
      <c r="G231" s="70" t="s">
        <v>352</v>
      </c>
      <c r="H231" s="70">
        <v>1</v>
      </c>
    </row>
    <row r="232" spans="1:8" ht="27.75">
      <c r="A232" s="15"/>
      <c r="B232" s="76"/>
      <c r="C232" s="124"/>
      <c r="D232" s="121" t="s">
        <v>353</v>
      </c>
      <c r="E232" s="104"/>
      <c r="F232" s="76"/>
      <c r="G232" s="76"/>
      <c r="H232" s="76"/>
    </row>
    <row r="233" spans="1:8" ht="27.75">
      <c r="A233" s="9">
        <v>104</v>
      </c>
      <c r="B233" s="53" t="s">
        <v>14</v>
      </c>
      <c r="C233" s="120" t="s">
        <v>15</v>
      </c>
      <c r="D233" s="120" t="s">
        <v>354</v>
      </c>
      <c r="E233" s="114">
        <f>5660*1.07</f>
        <v>6056.2000000000007</v>
      </c>
      <c r="F233" s="101" t="s">
        <v>355</v>
      </c>
      <c r="G233" s="126" t="s">
        <v>356</v>
      </c>
      <c r="H233" s="70">
        <v>1</v>
      </c>
    </row>
    <row r="234" spans="1:8" ht="27.75">
      <c r="A234" s="15"/>
      <c r="B234" s="71"/>
      <c r="C234" s="121"/>
      <c r="D234" s="121" t="s">
        <v>357</v>
      </c>
      <c r="E234" s="104"/>
      <c r="F234" s="76"/>
      <c r="G234" s="71"/>
      <c r="H234" s="76"/>
    </row>
    <row r="235" spans="1:8" ht="27.75">
      <c r="A235" s="9">
        <v>105</v>
      </c>
      <c r="B235" s="95" t="s">
        <v>274</v>
      </c>
      <c r="C235" s="120" t="s">
        <v>358</v>
      </c>
      <c r="D235" s="120" t="s">
        <v>359</v>
      </c>
      <c r="E235" s="114">
        <f>30000*1.07</f>
        <v>32100.000000000004</v>
      </c>
      <c r="F235" s="101" t="s">
        <v>355</v>
      </c>
      <c r="G235" s="126" t="s">
        <v>360</v>
      </c>
      <c r="H235" s="70">
        <v>1</v>
      </c>
    </row>
    <row r="236" spans="1:8" ht="27.75">
      <c r="A236" s="15"/>
      <c r="B236" s="71"/>
      <c r="C236" s="121"/>
      <c r="D236" s="121" t="s">
        <v>361</v>
      </c>
      <c r="E236" s="104"/>
      <c r="F236" s="76"/>
      <c r="G236" s="71"/>
      <c r="H236" s="76"/>
    </row>
    <row r="237" spans="1:8" ht="27.75">
      <c r="A237" s="9">
        <v>106</v>
      </c>
      <c r="B237" s="95" t="s">
        <v>362</v>
      </c>
      <c r="C237" s="120" t="s">
        <v>363</v>
      </c>
      <c r="D237" s="125" t="s">
        <v>364</v>
      </c>
      <c r="E237" s="112">
        <f>53400*1.07</f>
        <v>57138</v>
      </c>
      <c r="F237" s="116" t="s">
        <v>355</v>
      </c>
      <c r="G237" s="81" t="s">
        <v>365</v>
      </c>
      <c r="H237" s="70">
        <v>1</v>
      </c>
    </row>
    <row r="238" spans="1:8" ht="27.75">
      <c r="A238" s="15"/>
      <c r="B238" s="81"/>
      <c r="C238" s="125"/>
      <c r="D238" s="125" t="s">
        <v>138</v>
      </c>
      <c r="E238" s="94"/>
      <c r="F238" s="80"/>
      <c r="G238" s="81"/>
      <c r="H238" s="76"/>
    </row>
    <row r="239" spans="1:8" ht="27.75">
      <c r="A239" s="9">
        <v>107</v>
      </c>
      <c r="B239" s="127" t="s">
        <v>54</v>
      </c>
      <c r="C239" s="120" t="s">
        <v>243</v>
      </c>
      <c r="D239" s="120" t="s">
        <v>366</v>
      </c>
      <c r="E239" s="114">
        <f>4328*1.07</f>
        <v>4630.96</v>
      </c>
      <c r="F239" s="101" t="s">
        <v>355</v>
      </c>
      <c r="G239" s="126" t="s">
        <v>367</v>
      </c>
      <c r="H239" s="80">
        <v>1</v>
      </c>
    </row>
    <row r="240" spans="1:8" ht="27.75">
      <c r="A240" s="15"/>
      <c r="B240" s="71"/>
      <c r="C240" s="121"/>
      <c r="D240" s="121"/>
      <c r="E240" s="104"/>
      <c r="F240" s="76"/>
      <c r="G240" s="71"/>
      <c r="H240" s="80"/>
    </row>
    <row r="241" spans="1:8" ht="27.75">
      <c r="A241" s="9">
        <v>108</v>
      </c>
      <c r="B241" s="24" t="s">
        <v>368</v>
      </c>
      <c r="C241" s="128" t="s">
        <v>369</v>
      </c>
      <c r="D241" s="125" t="s">
        <v>370</v>
      </c>
      <c r="E241" s="112">
        <f>8500*1.07</f>
        <v>9095</v>
      </c>
      <c r="F241" s="116" t="s">
        <v>355</v>
      </c>
      <c r="G241" s="81" t="s">
        <v>371</v>
      </c>
      <c r="H241" s="70">
        <v>1</v>
      </c>
    </row>
    <row r="242" spans="1:8" ht="27.75">
      <c r="A242" s="15"/>
      <c r="B242" s="80"/>
      <c r="C242" s="128"/>
      <c r="D242" s="125" t="s">
        <v>372</v>
      </c>
      <c r="E242" s="94"/>
      <c r="F242" s="80"/>
      <c r="G242" s="81"/>
      <c r="H242" s="76"/>
    </row>
    <row r="243" spans="1:8" ht="27.75">
      <c r="A243" s="9">
        <v>109</v>
      </c>
      <c r="B243" s="24" t="s">
        <v>368</v>
      </c>
      <c r="C243" s="123" t="s">
        <v>373</v>
      </c>
      <c r="D243" s="120" t="s">
        <v>374</v>
      </c>
      <c r="E243" s="114">
        <f>15000*1.07</f>
        <v>16050.000000000002</v>
      </c>
      <c r="F243" s="101" t="s">
        <v>355</v>
      </c>
      <c r="G243" s="126" t="s">
        <v>375</v>
      </c>
      <c r="H243" s="70">
        <v>1</v>
      </c>
    </row>
    <row r="244" spans="1:8" ht="27.75">
      <c r="A244" s="15"/>
      <c r="B244" s="76"/>
      <c r="C244" s="124"/>
      <c r="D244" s="121" t="s">
        <v>376</v>
      </c>
      <c r="E244" s="104"/>
      <c r="F244" s="76"/>
      <c r="G244" s="71"/>
      <c r="H244" s="76"/>
    </row>
    <row r="245" spans="1:8" ht="27.75">
      <c r="A245" s="9">
        <v>110</v>
      </c>
      <c r="B245" s="24" t="s">
        <v>368</v>
      </c>
      <c r="C245" s="128" t="s">
        <v>373</v>
      </c>
      <c r="D245" s="125" t="s">
        <v>377</v>
      </c>
      <c r="E245" s="112">
        <f>13700*1.07</f>
        <v>14659</v>
      </c>
      <c r="F245" s="116" t="s">
        <v>355</v>
      </c>
      <c r="G245" s="81" t="s">
        <v>378</v>
      </c>
      <c r="H245" s="80">
        <v>1</v>
      </c>
    </row>
    <row r="246" spans="1:8" ht="27.75">
      <c r="A246" s="15"/>
      <c r="B246" s="80"/>
      <c r="C246" s="128"/>
      <c r="D246" s="125" t="s">
        <v>379</v>
      </c>
      <c r="E246" s="94"/>
      <c r="F246" s="80"/>
      <c r="G246" s="81"/>
      <c r="H246" s="80"/>
    </row>
    <row r="247" spans="1:8" ht="27.75">
      <c r="A247" s="9">
        <v>111</v>
      </c>
      <c r="B247" s="129" t="s">
        <v>14</v>
      </c>
      <c r="C247" s="120" t="s">
        <v>62</v>
      </c>
      <c r="D247" s="120" t="s">
        <v>380</v>
      </c>
      <c r="E247" s="114">
        <f>1390*1.07</f>
        <v>1487.3000000000002</v>
      </c>
      <c r="F247" s="101" t="s">
        <v>355</v>
      </c>
      <c r="G247" s="126" t="s">
        <v>381</v>
      </c>
      <c r="H247" s="70">
        <v>1</v>
      </c>
    </row>
    <row r="248" spans="1:8" ht="27.75">
      <c r="A248" s="15"/>
      <c r="B248" s="71"/>
      <c r="C248" s="121"/>
      <c r="D248" s="121"/>
      <c r="E248" s="104"/>
      <c r="F248" s="76"/>
      <c r="G248" s="71"/>
      <c r="H248" s="76"/>
    </row>
    <row r="249" spans="1:8" ht="27.75">
      <c r="A249" s="9">
        <v>112</v>
      </c>
      <c r="B249" s="129" t="s">
        <v>14</v>
      </c>
      <c r="C249" s="120" t="s">
        <v>15</v>
      </c>
      <c r="D249" s="120" t="s">
        <v>382</v>
      </c>
      <c r="E249" s="130">
        <f>300*1.07</f>
        <v>321</v>
      </c>
      <c r="F249" s="101" t="s">
        <v>355</v>
      </c>
      <c r="G249" s="126" t="s">
        <v>383</v>
      </c>
      <c r="H249" s="70">
        <v>1</v>
      </c>
    </row>
    <row r="250" spans="1:8" ht="27.75">
      <c r="A250" s="15"/>
      <c r="B250" s="71"/>
      <c r="C250" s="121"/>
      <c r="D250" s="121" t="s">
        <v>138</v>
      </c>
      <c r="E250" s="104"/>
      <c r="F250" s="76"/>
      <c r="G250" s="71"/>
      <c r="H250" s="76"/>
    </row>
    <row r="251" spans="1:8" ht="27.75" customHeight="1">
      <c r="A251" s="330" t="s">
        <v>561</v>
      </c>
      <c r="B251" s="332" t="s">
        <v>0</v>
      </c>
      <c r="C251" s="329" t="s">
        <v>1</v>
      </c>
      <c r="D251" s="329" t="s">
        <v>2</v>
      </c>
      <c r="E251" s="329" t="s">
        <v>3</v>
      </c>
      <c r="F251" s="329" t="s">
        <v>4</v>
      </c>
      <c r="G251" s="329"/>
      <c r="H251" s="330" t="s">
        <v>5</v>
      </c>
    </row>
    <row r="252" spans="1:8" ht="54" customHeight="1">
      <c r="A252" s="331"/>
      <c r="B252" s="333"/>
      <c r="C252" s="329"/>
      <c r="D252" s="329"/>
      <c r="E252" s="329"/>
      <c r="F252" s="6" t="s">
        <v>6</v>
      </c>
      <c r="G252" s="6" t="s">
        <v>7</v>
      </c>
      <c r="H252" s="331"/>
    </row>
    <row r="253" spans="1:8" ht="27.75">
      <c r="A253" s="9">
        <v>113</v>
      </c>
      <c r="B253" s="24" t="s">
        <v>384</v>
      </c>
      <c r="C253" s="120" t="s">
        <v>553</v>
      </c>
      <c r="D253" s="120" t="s">
        <v>385</v>
      </c>
      <c r="E253" s="114">
        <f>47360*1.07</f>
        <v>50675.200000000004</v>
      </c>
      <c r="F253" s="101" t="s">
        <v>355</v>
      </c>
      <c r="G253" s="126" t="s">
        <v>386</v>
      </c>
      <c r="H253" s="80">
        <v>1</v>
      </c>
    </row>
    <row r="254" spans="1:8" ht="27.75">
      <c r="A254" s="15"/>
      <c r="B254" s="71"/>
      <c r="C254" s="121" t="s">
        <v>554</v>
      </c>
      <c r="D254" s="121"/>
      <c r="E254" s="104"/>
      <c r="F254" s="76"/>
      <c r="G254" s="71"/>
      <c r="H254" s="80"/>
    </row>
    <row r="255" spans="1:8" ht="27.75">
      <c r="A255" s="9">
        <v>114</v>
      </c>
      <c r="B255" s="53" t="s">
        <v>14</v>
      </c>
      <c r="C255" s="125" t="s">
        <v>15</v>
      </c>
      <c r="D255" s="125" t="s">
        <v>387</v>
      </c>
      <c r="E255" s="112">
        <f>1390*1.07</f>
        <v>1487.3000000000002</v>
      </c>
      <c r="F255" s="116" t="s">
        <v>355</v>
      </c>
      <c r="G255" s="81" t="s">
        <v>388</v>
      </c>
      <c r="H255" s="70">
        <v>1</v>
      </c>
    </row>
    <row r="256" spans="1:8" ht="27.75">
      <c r="A256" s="15"/>
      <c r="B256" s="71"/>
      <c r="C256" s="121"/>
      <c r="D256" s="121"/>
      <c r="E256" s="104"/>
      <c r="F256" s="76"/>
      <c r="G256" s="71"/>
      <c r="H256" s="76"/>
    </row>
    <row r="257" spans="1:8" ht="27.75">
      <c r="A257" s="9">
        <v>115</v>
      </c>
      <c r="B257" s="44" t="s">
        <v>162</v>
      </c>
      <c r="C257" s="66" t="s">
        <v>163</v>
      </c>
      <c r="D257" s="66" t="s">
        <v>389</v>
      </c>
      <c r="E257" s="114">
        <f>6000*1.07</f>
        <v>6420</v>
      </c>
      <c r="F257" s="101" t="s">
        <v>390</v>
      </c>
      <c r="G257" s="108" t="s">
        <v>391</v>
      </c>
      <c r="H257" s="70">
        <v>1</v>
      </c>
    </row>
    <row r="258" spans="1:8" ht="27.75">
      <c r="A258" s="15"/>
      <c r="B258" s="71"/>
      <c r="C258" s="121"/>
      <c r="D258" s="72" t="s">
        <v>392</v>
      </c>
      <c r="E258" s="104"/>
      <c r="F258" s="76"/>
      <c r="G258" s="75"/>
      <c r="H258" s="76"/>
    </row>
    <row r="259" spans="1:8" ht="27.75">
      <c r="A259" s="9">
        <v>116</v>
      </c>
      <c r="B259" s="24" t="s">
        <v>141</v>
      </c>
      <c r="C259" s="66" t="s">
        <v>142</v>
      </c>
      <c r="D259" s="66" t="s">
        <v>393</v>
      </c>
      <c r="E259" s="114">
        <f>5520*1.07</f>
        <v>5906.4000000000005</v>
      </c>
      <c r="F259" s="101" t="s">
        <v>390</v>
      </c>
      <c r="G259" s="108" t="s">
        <v>394</v>
      </c>
      <c r="H259" s="70">
        <v>1</v>
      </c>
    </row>
    <row r="260" spans="1:8" ht="27.75">
      <c r="A260" s="15"/>
      <c r="B260" s="76"/>
      <c r="C260" s="121"/>
      <c r="D260" s="121"/>
      <c r="E260" s="104"/>
      <c r="F260" s="76"/>
      <c r="G260" s="75"/>
      <c r="H260" s="76"/>
    </row>
    <row r="261" spans="1:8" ht="27.75">
      <c r="A261" s="9">
        <v>117</v>
      </c>
      <c r="B261" s="88" t="s">
        <v>141</v>
      </c>
      <c r="C261" s="66" t="s">
        <v>142</v>
      </c>
      <c r="D261" s="66" t="s">
        <v>395</v>
      </c>
      <c r="E261" s="114">
        <f>1460*1.07</f>
        <v>1562.2</v>
      </c>
      <c r="F261" s="101" t="s">
        <v>390</v>
      </c>
      <c r="G261" s="108" t="s">
        <v>396</v>
      </c>
      <c r="H261" s="70">
        <v>1</v>
      </c>
    </row>
    <row r="262" spans="1:8" ht="27.75">
      <c r="A262" s="15"/>
      <c r="B262" s="71"/>
      <c r="C262" s="121"/>
      <c r="D262" s="121"/>
      <c r="E262" s="104"/>
      <c r="F262" s="76"/>
      <c r="G262" s="75"/>
      <c r="H262" s="76"/>
    </row>
    <row r="263" spans="1:8" ht="27.75">
      <c r="A263" s="9">
        <v>118</v>
      </c>
      <c r="B263" s="88" t="s">
        <v>397</v>
      </c>
      <c r="C263" s="77" t="s">
        <v>398</v>
      </c>
      <c r="D263" s="77" t="s">
        <v>399</v>
      </c>
      <c r="E263" s="112">
        <f>92700*1.07</f>
        <v>99189</v>
      </c>
      <c r="F263" s="116" t="s">
        <v>390</v>
      </c>
      <c r="G263" s="84" t="s">
        <v>400</v>
      </c>
      <c r="H263" s="80">
        <v>1</v>
      </c>
    </row>
    <row r="264" spans="1:8" ht="27.75">
      <c r="A264" s="15"/>
      <c r="B264" s="81"/>
      <c r="C264" s="125"/>
      <c r="D264" s="125"/>
      <c r="E264" s="94"/>
      <c r="F264" s="80"/>
      <c r="G264" s="84"/>
      <c r="H264" s="80"/>
    </row>
    <row r="265" spans="1:8" ht="27.75">
      <c r="A265" s="9">
        <v>119</v>
      </c>
      <c r="B265" s="28" t="s">
        <v>9</v>
      </c>
      <c r="C265" s="67" t="s">
        <v>50</v>
      </c>
      <c r="D265" s="66" t="s">
        <v>401</v>
      </c>
      <c r="E265" s="114">
        <f>3980*1.07</f>
        <v>4258.6000000000004</v>
      </c>
      <c r="F265" s="101" t="s">
        <v>390</v>
      </c>
      <c r="G265" s="108" t="s">
        <v>402</v>
      </c>
      <c r="H265" s="70">
        <v>1</v>
      </c>
    </row>
    <row r="266" spans="1:8" ht="27.75">
      <c r="A266" s="15"/>
      <c r="B266" s="76"/>
      <c r="C266" s="124"/>
      <c r="D266" s="121"/>
      <c r="E266" s="104"/>
      <c r="F266" s="76"/>
      <c r="G266" s="75"/>
      <c r="H266" s="76"/>
    </row>
    <row r="267" spans="1:8" ht="27.75">
      <c r="A267" s="9">
        <v>120</v>
      </c>
      <c r="B267" s="44" t="s">
        <v>162</v>
      </c>
      <c r="C267" s="66" t="s">
        <v>163</v>
      </c>
      <c r="D267" s="120" t="s">
        <v>551</v>
      </c>
      <c r="E267" s="114">
        <f>2250*1.07</f>
        <v>2407.5</v>
      </c>
      <c r="F267" s="101" t="s">
        <v>390</v>
      </c>
      <c r="G267" s="108" t="s">
        <v>403</v>
      </c>
      <c r="H267" s="70">
        <v>1</v>
      </c>
    </row>
    <row r="268" spans="1:8" ht="27.75">
      <c r="A268" s="15"/>
      <c r="B268" s="71"/>
      <c r="C268" s="121"/>
      <c r="D268" s="72" t="s">
        <v>552</v>
      </c>
      <c r="E268" s="104"/>
      <c r="F268" s="76"/>
      <c r="G268" s="75"/>
      <c r="H268" s="76"/>
    </row>
    <row r="269" spans="1:8" ht="27.75">
      <c r="A269" s="9">
        <v>121</v>
      </c>
      <c r="B269" s="24" t="s">
        <v>141</v>
      </c>
      <c r="C269" s="77" t="s">
        <v>142</v>
      </c>
      <c r="D269" s="77" t="s">
        <v>404</v>
      </c>
      <c r="E269" s="112">
        <f>5520*1.07</f>
        <v>5906.4000000000005</v>
      </c>
      <c r="F269" s="116" t="s">
        <v>390</v>
      </c>
      <c r="G269" s="84" t="s">
        <v>405</v>
      </c>
      <c r="H269" s="70">
        <v>1</v>
      </c>
    </row>
    <row r="270" spans="1:8" ht="27.75">
      <c r="A270" s="15"/>
      <c r="B270" s="76"/>
      <c r="C270" s="121"/>
      <c r="D270" s="121"/>
      <c r="E270" s="104"/>
      <c r="F270" s="76"/>
      <c r="G270" s="75"/>
      <c r="H270" s="76"/>
    </row>
    <row r="271" spans="1:8" ht="27.75">
      <c r="A271" s="9">
        <v>122</v>
      </c>
      <c r="B271" s="70" t="s">
        <v>183</v>
      </c>
      <c r="C271" s="66" t="s">
        <v>184</v>
      </c>
      <c r="D271" s="66" t="s">
        <v>406</v>
      </c>
      <c r="E271" s="114">
        <f>15750*1.07</f>
        <v>16852.5</v>
      </c>
      <c r="F271" s="101" t="s">
        <v>407</v>
      </c>
      <c r="G271" s="108" t="s">
        <v>408</v>
      </c>
      <c r="H271" s="70">
        <v>1</v>
      </c>
    </row>
    <row r="272" spans="1:8" ht="27.75">
      <c r="A272" s="15"/>
      <c r="B272" s="71"/>
      <c r="C272" s="121"/>
      <c r="D272" s="72" t="s">
        <v>409</v>
      </c>
      <c r="E272" s="104"/>
      <c r="F272" s="76"/>
      <c r="G272" s="75"/>
      <c r="H272" s="76"/>
    </row>
    <row r="273" spans="1:8" ht="27.75">
      <c r="A273" s="9">
        <v>123</v>
      </c>
      <c r="B273" s="70" t="s">
        <v>183</v>
      </c>
      <c r="C273" s="67" t="s">
        <v>184</v>
      </c>
      <c r="D273" s="66" t="s">
        <v>410</v>
      </c>
      <c r="E273" s="114">
        <f>3510*1.07</f>
        <v>3755.7000000000003</v>
      </c>
      <c r="F273" s="101" t="s">
        <v>407</v>
      </c>
      <c r="G273" s="108" t="s">
        <v>411</v>
      </c>
      <c r="H273" s="80">
        <v>1</v>
      </c>
    </row>
    <row r="274" spans="1:8" ht="27.75">
      <c r="A274" s="15"/>
      <c r="B274" s="76"/>
      <c r="C274" s="73"/>
      <c r="D274" s="72"/>
      <c r="E274" s="104"/>
      <c r="F274" s="76"/>
      <c r="G274" s="75"/>
      <c r="H274" s="80"/>
    </row>
    <row r="275" spans="1:8" ht="27.75">
      <c r="A275" s="9">
        <v>124</v>
      </c>
      <c r="B275" s="70" t="s">
        <v>183</v>
      </c>
      <c r="C275" s="67" t="s">
        <v>184</v>
      </c>
      <c r="D275" s="118" t="s">
        <v>412</v>
      </c>
      <c r="E275" s="114">
        <f>75645*1.07</f>
        <v>80940.150000000009</v>
      </c>
      <c r="F275" s="101" t="s">
        <v>407</v>
      </c>
      <c r="G275" s="108" t="s">
        <v>413</v>
      </c>
      <c r="H275" s="70">
        <v>1</v>
      </c>
    </row>
    <row r="276" spans="1:8" ht="27.75">
      <c r="A276" s="15"/>
      <c r="B276" s="80"/>
      <c r="C276" s="78"/>
      <c r="D276" s="77" t="s">
        <v>414</v>
      </c>
      <c r="E276" s="94"/>
      <c r="F276" s="80"/>
      <c r="G276" s="84"/>
      <c r="H276" s="76"/>
    </row>
    <row r="277" spans="1:8" ht="27.75">
      <c r="A277" s="9">
        <v>125</v>
      </c>
      <c r="B277" s="28" t="s">
        <v>9</v>
      </c>
      <c r="C277" s="67" t="s">
        <v>415</v>
      </c>
      <c r="D277" s="66" t="s">
        <v>416</v>
      </c>
      <c r="E277" s="114">
        <f>7970*1.07</f>
        <v>8527.9</v>
      </c>
      <c r="F277" s="101" t="s">
        <v>407</v>
      </c>
      <c r="G277" s="108" t="s">
        <v>417</v>
      </c>
      <c r="H277" s="80">
        <v>1</v>
      </c>
    </row>
    <row r="278" spans="1:8" ht="27.75">
      <c r="A278" s="15"/>
      <c r="B278" s="76"/>
      <c r="C278" s="73"/>
      <c r="D278" s="121" t="s">
        <v>226</v>
      </c>
      <c r="E278" s="104"/>
      <c r="F278" s="76"/>
      <c r="G278" s="75"/>
      <c r="H278" s="80"/>
    </row>
    <row r="279" spans="1:8" ht="27.75">
      <c r="A279" s="9">
        <v>126</v>
      </c>
      <c r="B279" s="119" t="s">
        <v>54</v>
      </c>
      <c r="C279" s="78" t="s">
        <v>243</v>
      </c>
      <c r="D279" s="77" t="s">
        <v>418</v>
      </c>
      <c r="E279" s="112">
        <f>2280*1.07</f>
        <v>2439.6000000000004</v>
      </c>
      <c r="F279" s="116" t="s">
        <v>407</v>
      </c>
      <c r="G279" s="84" t="s">
        <v>419</v>
      </c>
      <c r="H279" s="70">
        <v>1</v>
      </c>
    </row>
    <row r="280" spans="1:8" ht="27.75">
      <c r="A280" s="15"/>
      <c r="B280" s="76"/>
      <c r="C280" s="78"/>
      <c r="D280" s="77"/>
      <c r="E280" s="94"/>
      <c r="F280" s="80"/>
      <c r="G280" s="84"/>
      <c r="H280" s="76"/>
    </row>
    <row r="281" spans="1:8" ht="27.75">
      <c r="A281" s="9">
        <v>127</v>
      </c>
      <c r="B281" s="24" t="s">
        <v>420</v>
      </c>
      <c r="C281" s="67" t="s">
        <v>421</v>
      </c>
      <c r="D281" s="66" t="s">
        <v>422</v>
      </c>
      <c r="E281" s="114">
        <f>13500*1.07</f>
        <v>14445</v>
      </c>
      <c r="F281" s="101" t="s">
        <v>423</v>
      </c>
      <c r="G281" s="108" t="s">
        <v>424</v>
      </c>
      <c r="H281" s="70">
        <v>1</v>
      </c>
    </row>
    <row r="282" spans="1:8" ht="27.75">
      <c r="A282" s="15"/>
      <c r="B282" s="76"/>
      <c r="C282" s="73"/>
      <c r="D282" s="72"/>
      <c r="E282" s="104"/>
      <c r="F282" s="76"/>
      <c r="G282" s="75"/>
      <c r="H282" s="76"/>
    </row>
    <row r="283" spans="1:8" ht="27.75" customHeight="1">
      <c r="A283" s="330" t="s">
        <v>561</v>
      </c>
      <c r="B283" s="332" t="s">
        <v>0</v>
      </c>
      <c r="C283" s="329" t="s">
        <v>1</v>
      </c>
      <c r="D283" s="329" t="s">
        <v>2</v>
      </c>
      <c r="E283" s="329" t="s">
        <v>3</v>
      </c>
      <c r="F283" s="329" t="s">
        <v>4</v>
      </c>
      <c r="G283" s="329"/>
      <c r="H283" s="330" t="s">
        <v>5</v>
      </c>
    </row>
    <row r="284" spans="1:8" ht="54" customHeight="1">
      <c r="A284" s="331"/>
      <c r="B284" s="333"/>
      <c r="C284" s="329"/>
      <c r="D284" s="329"/>
      <c r="E284" s="329"/>
      <c r="F284" s="6" t="s">
        <v>6</v>
      </c>
      <c r="G284" s="6" t="s">
        <v>7</v>
      </c>
      <c r="H284" s="331"/>
    </row>
    <row r="285" spans="1:8" ht="27.75">
      <c r="A285" s="9">
        <v>128</v>
      </c>
      <c r="B285" s="28" t="s">
        <v>9</v>
      </c>
      <c r="C285" s="67" t="s">
        <v>50</v>
      </c>
      <c r="D285" s="66" t="s">
        <v>425</v>
      </c>
      <c r="E285" s="114">
        <f>15750*1.07</f>
        <v>16852.5</v>
      </c>
      <c r="F285" s="101" t="s">
        <v>423</v>
      </c>
      <c r="G285" s="108" t="s">
        <v>426</v>
      </c>
      <c r="H285" s="70">
        <v>1</v>
      </c>
    </row>
    <row r="286" spans="1:8" ht="27.75">
      <c r="A286" s="15"/>
      <c r="B286" s="76"/>
      <c r="C286" s="73"/>
      <c r="D286" s="121"/>
      <c r="E286" s="104"/>
      <c r="F286" s="76"/>
      <c r="G286" s="75"/>
      <c r="H286" s="76"/>
    </row>
    <row r="287" spans="1:8" ht="27.75">
      <c r="A287" s="9">
        <v>129</v>
      </c>
      <c r="B287" s="25" t="s">
        <v>54</v>
      </c>
      <c r="C287" s="67" t="s">
        <v>243</v>
      </c>
      <c r="D287" s="66" t="s">
        <v>427</v>
      </c>
      <c r="E287" s="114">
        <f>11166*1.07</f>
        <v>11947.62</v>
      </c>
      <c r="F287" s="101" t="s">
        <v>423</v>
      </c>
      <c r="G287" s="108" t="s">
        <v>428</v>
      </c>
      <c r="H287" s="70">
        <v>1</v>
      </c>
    </row>
    <row r="288" spans="1:8" ht="27.75">
      <c r="A288" s="15"/>
      <c r="B288" s="76"/>
      <c r="C288" s="73"/>
      <c r="D288" s="121" t="s">
        <v>19</v>
      </c>
      <c r="E288" s="104"/>
      <c r="F288" s="76"/>
      <c r="G288" s="75"/>
      <c r="H288" s="76"/>
    </row>
    <row r="289" spans="1:8" ht="27.75">
      <c r="A289" s="9">
        <v>130</v>
      </c>
      <c r="B289" s="24" t="s">
        <v>429</v>
      </c>
      <c r="C289" s="67" t="s">
        <v>430</v>
      </c>
      <c r="D289" s="118" t="s">
        <v>431</v>
      </c>
      <c r="E289" s="114">
        <f>15300*1.07</f>
        <v>16371.000000000002</v>
      </c>
      <c r="F289" s="101" t="s">
        <v>423</v>
      </c>
      <c r="G289" s="108" t="s">
        <v>432</v>
      </c>
      <c r="H289" s="70">
        <v>1</v>
      </c>
    </row>
    <row r="290" spans="1:8" ht="27.75">
      <c r="A290" s="15"/>
      <c r="B290" s="76"/>
      <c r="C290" s="73"/>
      <c r="D290" s="121" t="s">
        <v>138</v>
      </c>
      <c r="E290" s="104"/>
      <c r="F290" s="76"/>
      <c r="G290" s="75"/>
      <c r="H290" s="76"/>
    </row>
    <row r="291" spans="1:8" ht="27.75">
      <c r="A291" s="9">
        <v>131</v>
      </c>
      <c r="B291" s="25" t="s">
        <v>54</v>
      </c>
      <c r="C291" s="67" t="s">
        <v>243</v>
      </c>
      <c r="D291" s="66" t="s">
        <v>433</v>
      </c>
      <c r="E291" s="114">
        <f>4000*1.07</f>
        <v>4280</v>
      </c>
      <c r="F291" s="101" t="s">
        <v>423</v>
      </c>
      <c r="G291" s="108" t="s">
        <v>434</v>
      </c>
      <c r="H291" s="70">
        <v>1</v>
      </c>
    </row>
    <row r="292" spans="1:8" ht="27.75">
      <c r="A292" s="15"/>
      <c r="B292" s="76"/>
      <c r="C292" s="73"/>
      <c r="D292" s="121" t="s">
        <v>138</v>
      </c>
      <c r="E292" s="104"/>
      <c r="F292" s="76"/>
      <c r="G292" s="75"/>
      <c r="H292" s="76"/>
    </row>
    <row r="293" spans="1:8" ht="27.75">
      <c r="A293" s="9">
        <v>132</v>
      </c>
      <c r="B293" s="131" t="s">
        <v>435</v>
      </c>
      <c r="C293" s="78" t="s">
        <v>436</v>
      </c>
      <c r="D293" s="83" t="s">
        <v>437</v>
      </c>
      <c r="E293" s="112">
        <f>85800*1.07</f>
        <v>91806</v>
      </c>
      <c r="F293" s="116" t="s">
        <v>423</v>
      </c>
      <c r="G293" s="84" t="s">
        <v>438</v>
      </c>
      <c r="H293" s="70">
        <v>1</v>
      </c>
    </row>
    <row r="294" spans="1:8" ht="27.75">
      <c r="A294" s="15"/>
      <c r="B294" s="80"/>
      <c r="C294" s="132"/>
      <c r="D294" s="83" t="s">
        <v>439</v>
      </c>
      <c r="E294" s="94"/>
      <c r="F294" s="80"/>
      <c r="G294" s="84"/>
      <c r="H294" s="76"/>
    </row>
    <row r="295" spans="1:8" ht="27.75">
      <c r="A295" s="9">
        <v>133</v>
      </c>
      <c r="B295" s="37" t="s">
        <v>58</v>
      </c>
      <c r="C295" s="67" t="s">
        <v>440</v>
      </c>
      <c r="D295" s="66" t="s">
        <v>441</v>
      </c>
      <c r="E295" s="114">
        <f>5400*1.07</f>
        <v>5778</v>
      </c>
      <c r="F295" s="101" t="s">
        <v>423</v>
      </c>
      <c r="G295" s="108" t="s">
        <v>442</v>
      </c>
      <c r="H295" s="80">
        <v>1</v>
      </c>
    </row>
    <row r="296" spans="1:8" ht="27.75">
      <c r="A296" s="15"/>
      <c r="B296" s="76"/>
      <c r="C296" s="73"/>
      <c r="D296" s="121" t="s">
        <v>138</v>
      </c>
      <c r="E296" s="104"/>
      <c r="F296" s="76"/>
      <c r="G296" s="75"/>
      <c r="H296" s="80"/>
    </row>
    <row r="297" spans="1:8" ht="27.75">
      <c r="A297" s="9">
        <v>134</v>
      </c>
      <c r="B297" s="24" t="s">
        <v>200</v>
      </c>
      <c r="C297" s="78" t="s">
        <v>201</v>
      </c>
      <c r="D297" s="77" t="s">
        <v>443</v>
      </c>
      <c r="E297" s="112">
        <f>60000*1.07</f>
        <v>64200.000000000007</v>
      </c>
      <c r="F297" s="116" t="s">
        <v>423</v>
      </c>
      <c r="G297" s="84" t="s">
        <v>444</v>
      </c>
      <c r="H297" s="70">
        <v>1</v>
      </c>
    </row>
    <row r="298" spans="1:8" ht="27.75">
      <c r="A298" s="15"/>
      <c r="B298" s="80"/>
      <c r="C298" s="78"/>
      <c r="D298" s="77" t="s">
        <v>445</v>
      </c>
      <c r="E298" s="94"/>
      <c r="F298" s="80"/>
      <c r="G298" s="84"/>
      <c r="H298" s="76"/>
    </row>
    <row r="299" spans="1:8" ht="27.75">
      <c r="A299" s="9">
        <v>135</v>
      </c>
      <c r="B299" s="12" t="s">
        <v>35</v>
      </c>
      <c r="C299" s="67" t="s">
        <v>446</v>
      </c>
      <c r="D299" s="66" t="s">
        <v>447</v>
      </c>
      <c r="E299" s="114">
        <f>24000*1.07</f>
        <v>25680</v>
      </c>
      <c r="F299" s="101" t="s">
        <v>423</v>
      </c>
      <c r="G299" s="108" t="s">
        <v>448</v>
      </c>
      <c r="H299" s="80">
        <v>1</v>
      </c>
    </row>
    <row r="300" spans="1:8" ht="27.75">
      <c r="A300" s="15"/>
      <c r="B300" s="76"/>
      <c r="C300" s="73"/>
      <c r="D300" s="72" t="s">
        <v>449</v>
      </c>
      <c r="E300" s="104"/>
      <c r="F300" s="76"/>
      <c r="G300" s="75"/>
      <c r="H300" s="80"/>
    </row>
    <row r="301" spans="1:8" ht="27.75">
      <c r="A301" s="9">
        <v>136</v>
      </c>
      <c r="B301" s="22" t="s">
        <v>450</v>
      </c>
      <c r="C301" s="78" t="s">
        <v>451</v>
      </c>
      <c r="D301" s="77" t="s">
        <v>452</v>
      </c>
      <c r="E301" s="112">
        <f>58500*1.07</f>
        <v>62595</v>
      </c>
      <c r="F301" s="116" t="s">
        <v>423</v>
      </c>
      <c r="G301" s="84" t="s">
        <v>453</v>
      </c>
      <c r="H301" s="70">
        <v>1</v>
      </c>
    </row>
    <row r="302" spans="1:8" ht="27.75">
      <c r="A302" s="15"/>
      <c r="B302" s="76"/>
      <c r="C302" s="78"/>
      <c r="D302" s="77" t="s">
        <v>454</v>
      </c>
      <c r="E302" s="94"/>
      <c r="F302" s="80"/>
      <c r="G302" s="84"/>
      <c r="H302" s="76"/>
    </row>
    <row r="303" spans="1:8" ht="27.75">
      <c r="A303" s="9">
        <v>137</v>
      </c>
      <c r="B303" s="28" t="s">
        <v>9</v>
      </c>
      <c r="C303" s="67" t="s">
        <v>50</v>
      </c>
      <c r="D303" s="66" t="s">
        <v>455</v>
      </c>
      <c r="E303" s="114">
        <f>15075*1.07</f>
        <v>16130.250000000002</v>
      </c>
      <c r="F303" s="101" t="s">
        <v>423</v>
      </c>
      <c r="G303" s="108" t="s">
        <v>456</v>
      </c>
      <c r="H303" s="70">
        <v>1</v>
      </c>
    </row>
    <row r="304" spans="1:8" ht="27.75">
      <c r="A304" s="15"/>
      <c r="B304" s="76"/>
      <c r="C304" s="73"/>
      <c r="D304" s="121" t="s">
        <v>457</v>
      </c>
      <c r="E304" s="104"/>
      <c r="F304" s="76"/>
      <c r="G304" s="75"/>
      <c r="H304" s="76"/>
    </row>
    <row r="305" spans="1:8" ht="27.75">
      <c r="A305" s="9">
        <v>138</v>
      </c>
      <c r="B305" s="97" t="s">
        <v>100</v>
      </c>
      <c r="C305" s="78" t="s">
        <v>101</v>
      </c>
      <c r="D305" s="77" t="s">
        <v>458</v>
      </c>
      <c r="E305" s="112">
        <f>92520*1.07</f>
        <v>98996.400000000009</v>
      </c>
      <c r="F305" s="116" t="s">
        <v>423</v>
      </c>
      <c r="G305" s="84" t="s">
        <v>459</v>
      </c>
      <c r="H305" s="80">
        <v>1</v>
      </c>
    </row>
    <row r="306" spans="1:8" ht="27.75">
      <c r="A306" s="15"/>
      <c r="B306" s="80"/>
      <c r="C306" s="78"/>
      <c r="D306" s="77"/>
      <c r="E306" s="94"/>
      <c r="F306" s="80"/>
      <c r="G306" s="84"/>
      <c r="H306" s="80"/>
    </row>
    <row r="307" spans="1:8" ht="27.75">
      <c r="A307" s="9">
        <v>139</v>
      </c>
      <c r="B307" s="28" t="s">
        <v>9</v>
      </c>
      <c r="C307" s="67" t="s">
        <v>50</v>
      </c>
      <c r="D307" s="66" t="s">
        <v>460</v>
      </c>
      <c r="E307" s="114">
        <f>4680*1.07</f>
        <v>5007.6000000000004</v>
      </c>
      <c r="F307" s="101" t="s">
        <v>423</v>
      </c>
      <c r="G307" s="108" t="s">
        <v>461</v>
      </c>
      <c r="H307" s="70">
        <v>1</v>
      </c>
    </row>
    <row r="308" spans="1:8" ht="27.75">
      <c r="A308" s="15"/>
      <c r="B308" s="76"/>
      <c r="C308" s="73"/>
      <c r="D308" s="121" t="s">
        <v>226</v>
      </c>
      <c r="E308" s="104"/>
      <c r="F308" s="76"/>
      <c r="G308" s="75"/>
      <c r="H308" s="76"/>
    </row>
    <row r="309" spans="1:8" ht="27.75">
      <c r="A309" s="9">
        <v>140</v>
      </c>
      <c r="B309" s="35" t="s">
        <v>14</v>
      </c>
      <c r="C309" s="78" t="s">
        <v>62</v>
      </c>
      <c r="D309" s="83" t="s">
        <v>462</v>
      </c>
      <c r="E309" s="112">
        <f>2950*1.07</f>
        <v>3156.5</v>
      </c>
      <c r="F309" s="116" t="s">
        <v>463</v>
      </c>
      <c r="G309" s="84" t="s">
        <v>464</v>
      </c>
      <c r="H309" s="80">
        <v>1</v>
      </c>
    </row>
    <row r="310" spans="1:8" ht="27.75">
      <c r="A310" s="15"/>
      <c r="B310" s="80"/>
      <c r="C310" s="78"/>
      <c r="D310" s="77"/>
      <c r="E310" s="94"/>
      <c r="F310" s="80"/>
      <c r="G310" s="84"/>
      <c r="H310" s="80"/>
    </row>
    <row r="311" spans="1:8" ht="27.75">
      <c r="A311" s="9">
        <v>141</v>
      </c>
      <c r="B311" s="24" t="s">
        <v>141</v>
      </c>
      <c r="C311" s="67" t="s">
        <v>142</v>
      </c>
      <c r="D311" s="66" t="s">
        <v>465</v>
      </c>
      <c r="E311" s="114">
        <f>60200*1.07</f>
        <v>64414.000000000007</v>
      </c>
      <c r="F311" s="101" t="s">
        <v>463</v>
      </c>
      <c r="G311" s="108" t="s">
        <v>466</v>
      </c>
      <c r="H311" s="70">
        <v>1</v>
      </c>
    </row>
    <row r="312" spans="1:8" ht="27.75">
      <c r="A312" s="15"/>
      <c r="B312" s="76"/>
      <c r="C312" s="73"/>
      <c r="D312" s="72"/>
      <c r="E312" s="104"/>
      <c r="F312" s="76"/>
      <c r="G312" s="75"/>
      <c r="H312" s="76"/>
    </row>
    <row r="313" spans="1:8" ht="27.75">
      <c r="A313" s="9">
        <v>142</v>
      </c>
      <c r="B313" s="133" t="s">
        <v>467</v>
      </c>
      <c r="C313" s="67" t="s">
        <v>468</v>
      </c>
      <c r="D313" s="66" t="s">
        <v>469</v>
      </c>
      <c r="E313" s="114">
        <f>15700*1.07</f>
        <v>16799</v>
      </c>
      <c r="F313" s="101" t="s">
        <v>463</v>
      </c>
      <c r="G313" s="108" t="s">
        <v>470</v>
      </c>
      <c r="H313" s="70">
        <v>1</v>
      </c>
    </row>
    <row r="314" spans="1:8" ht="27.75">
      <c r="A314" s="15"/>
      <c r="B314" s="76"/>
      <c r="C314" s="73"/>
      <c r="D314" s="72"/>
      <c r="E314" s="104"/>
      <c r="F314" s="76"/>
      <c r="G314" s="75"/>
      <c r="H314" s="76"/>
    </row>
    <row r="315" spans="1:8" ht="27.75" customHeight="1">
      <c r="A315" s="330" t="s">
        <v>561</v>
      </c>
      <c r="B315" s="332" t="s">
        <v>0</v>
      </c>
      <c r="C315" s="329" t="s">
        <v>1</v>
      </c>
      <c r="D315" s="329" t="s">
        <v>2</v>
      </c>
      <c r="E315" s="329" t="s">
        <v>3</v>
      </c>
      <c r="F315" s="329" t="s">
        <v>4</v>
      </c>
      <c r="G315" s="329"/>
      <c r="H315" s="330" t="s">
        <v>5</v>
      </c>
    </row>
    <row r="316" spans="1:8" ht="54" customHeight="1">
      <c r="A316" s="331"/>
      <c r="B316" s="333"/>
      <c r="C316" s="329"/>
      <c r="D316" s="329"/>
      <c r="E316" s="329"/>
      <c r="F316" s="6" t="s">
        <v>6</v>
      </c>
      <c r="G316" s="6" t="s">
        <v>7</v>
      </c>
      <c r="H316" s="331"/>
    </row>
    <row r="317" spans="1:8" ht="27.75">
      <c r="A317" s="9">
        <v>143</v>
      </c>
      <c r="B317" s="119" t="s">
        <v>124</v>
      </c>
      <c r="C317" s="67" t="s">
        <v>290</v>
      </c>
      <c r="D317" s="66" t="s">
        <v>471</v>
      </c>
      <c r="E317" s="114">
        <f>38250*1.07</f>
        <v>40927.5</v>
      </c>
      <c r="F317" s="101" t="s">
        <v>463</v>
      </c>
      <c r="G317" s="108" t="s">
        <v>472</v>
      </c>
      <c r="H317" s="70">
        <v>1</v>
      </c>
    </row>
    <row r="318" spans="1:8" ht="27.75">
      <c r="A318" s="15"/>
      <c r="B318" s="76"/>
      <c r="C318" s="73"/>
      <c r="D318" s="72"/>
      <c r="E318" s="104"/>
      <c r="F318" s="76"/>
      <c r="G318" s="75"/>
      <c r="H318" s="76"/>
    </row>
    <row r="319" spans="1:8" ht="27.75">
      <c r="A319" s="9">
        <v>144</v>
      </c>
      <c r="B319" s="105" t="s">
        <v>100</v>
      </c>
      <c r="C319" s="67" t="s">
        <v>101</v>
      </c>
      <c r="D319" s="66" t="s">
        <v>473</v>
      </c>
      <c r="E319" s="114">
        <f>73600*1.07</f>
        <v>78752</v>
      </c>
      <c r="F319" s="101" t="s">
        <v>463</v>
      </c>
      <c r="G319" s="108" t="s">
        <v>474</v>
      </c>
      <c r="H319" s="70">
        <v>1</v>
      </c>
    </row>
    <row r="320" spans="1:8" ht="27.75">
      <c r="A320" s="15"/>
      <c r="B320" s="76"/>
      <c r="C320" s="73"/>
      <c r="D320" s="121"/>
      <c r="E320" s="104"/>
      <c r="F320" s="76"/>
      <c r="G320" s="75"/>
      <c r="H320" s="76"/>
    </row>
    <row r="321" spans="1:8" ht="27.75">
      <c r="A321" s="9">
        <v>145</v>
      </c>
      <c r="B321" s="22" t="s">
        <v>45</v>
      </c>
      <c r="C321" s="67" t="s">
        <v>475</v>
      </c>
      <c r="D321" s="66" t="s">
        <v>476</v>
      </c>
      <c r="E321" s="114">
        <f>93450*1.07</f>
        <v>99991.5</v>
      </c>
      <c r="F321" s="101" t="s">
        <v>463</v>
      </c>
      <c r="G321" s="108" t="s">
        <v>477</v>
      </c>
      <c r="H321" s="80">
        <v>1</v>
      </c>
    </row>
    <row r="322" spans="1:8" ht="27.75">
      <c r="A322" s="15"/>
      <c r="B322" s="76"/>
      <c r="C322" s="73"/>
      <c r="D322" s="121" t="s">
        <v>138</v>
      </c>
      <c r="E322" s="104"/>
      <c r="F322" s="76"/>
      <c r="G322" s="75"/>
      <c r="H322" s="80"/>
    </row>
    <row r="323" spans="1:8" ht="27.75">
      <c r="A323" s="9">
        <v>146</v>
      </c>
      <c r="B323" s="24" t="s">
        <v>429</v>
      </c>
      <c r="C323" s="78" t="s">
        <v>478</v>
      </c>
      <c r="D323" s="77" t="s">
        <v>479</v>
      </c>
      <c r="E323" s="112">
        <f>63000*1.07</f>
        <v>67410</v>
      </c>
      <c r="F323" s="116" t="s">
        <v>463</v>
      </c>
      <c r="G323" s="84" t="s">
        <v>480</v>
      </c>
      <c r="H323" s="70">
        <v>1</v>
      </c>
    </row>
    <row r="324" spans="1:8" ht="27.75">
      <c r="A324" s="15"/>
      <c r="B324" s="80"/>
      <c r="C324" s="78"/>
      <c r="D324" s="77"/>
      <c r="E324" s="94"/>
      <c r="F324" s="80"/>
      <c r="G324" s="84"/>
      <c r="H324" s="76"/>
    </row>
    <row r="325" spans="1:8" ht="27.75">
      <c r="A325" s="9">
        <v>147</v>
      </c>
      <c r="B325" s="22" t="s">
        <v>45</v>
      </c>
      <c r="C325" s="67" t="s">
        <v>481</v>
      </c>
      <c r="D325" s="66" t="s">
        <v>482</v>
      </c>
      <c r="E325" s="114">
        <f>26000*1.07</f>
        <v>27820</v>
      </c>
      <c r="F325" s="101" t="s">
        <v>463</v>
      </c>
      <c r="G325" s="108" t="s">
        <v>483</v>
      </c>
      <c r="H325" s="70">
        <v>1</v>
      </c>
    </row>
    <row r="326" spans="1:8" ht="27.75">
      <c r="A326" s="15"/>
      <c r="B326" s="76"/>
      <c r="C326" s="73"/>
      <c r="D326" s="121" t="s">
        <v>138</v>
      </c>
      <c r="E326" s="104"/>
      <c r="F326" s="76"/>
      <c r="G326" s="75"/>
      <c r="H326" s="76"/>
    </row>
    <row r="327" spans="1:8" ht="27.75">
      <c r="A327" s="9">
        <v>148</v>
      </c>
      <c r="B327" s="131" t="s">
        <v>45</v>
      </c>
      <c r="C327" s="78" t="s">
        <v>484</v>
      </c>
      <c r="D327" s="77" t="s">
        <v>485</v>
      </c>
      <c r="E327" s="112">
        <f>21300*1.07</f>
        <v>22791</v>
      </c>
      <c r="F327" s="116" t="s">
        <v>463</v>
      </c>
      <c r="G327" s="84" t="s">
        <v>486</v>
      </c>
      <c r="H327" s="80">
        <v>1</v>
      </c>
    </row>
    <row r="328" spans="1:8" ht="27.75">
      <c r="A328" s="15"/>
      <c r="B328" s="80"/>
      <c r="C328" s="78"/>
      <c r="D328" s="77" t="s">
        <v>487</v>
      </c>
      <c r="E328" s="94"/>
      <c r="F328" s="80"/>
      <c r="G328" s="84"/>
      <c r="H328" s="80"/>
    </row>
    <row r="329" spans="1:8" ht="27.75">
      <c r="A329" s="9">
        <v>149</v>
      </c>
      <c r="B329" s="134" t="s">
        <v>488</v>
      </c>
      <c r="C329" s="67" t="s">
        <v>489</v>
      </c>
      <c r="D329" s="66" t="s">
        <v>490</v>
      </c>
      <c r="E329" s="114">
        <f>33800*1.07</f>
        <v>36166</v>
      </c>
      <c r="F329" s="101" t="s">
        <v>463</v>
      </c>
      <c r="G329" s="108" t="s">
        <v>491</v>
      </c>
      <c r="H329" s="70">
        <v>1</v>
      </c>
    </row>
    <row r="330" spans="1:8" ht="27.75">
      <c r="A330" s="15"/>
      <c r="B330" s="76"/>
      <c r="C330" s="73"/>
      <c r="D330" s="121" t="s">
        <v>19</v>
      </c>
      <c r="E330" s="104"/>
      <c r="F330" s="76"/>
      <c r="G330" s="75"/>
      <c r="H330" s="76"/>
    </row>
    <row r="331" spans="1:8" ht="27.75">
      <c r="A331" s="9">
        <v>150</v>
      </c>
      <c r="B331" s="22" t="s">
        <v>492</v>
      </c>
      <c r="C331" s="78" t="s">
        <v>557</v>
      </c>
      <c r="D331" s="77" t="s">
        <v>493</v>
      </c>
      <c r="E331" s="112">
        <f>33400*1.07</f>
        <v>35738</v>
      </c>
      <c r="F331" s="116" t="s">
        <v>463</v>
      </c>
      <c r="G331" s="84" t="s">
        <v>494</v>
      </c>
      <c r="H331" s="80">
        <v>1</v>
      </c>
    </row>
    <row r="332" spans="1:8" ht="27.75">
      <c r="A332" s="15"/>
      <c r="B332" s="76"/>
      <c r="C332" s="78" t="s">
        <v>558</v>
      </c>
      <c r="D332" s="125" t="s">
        <v>138</v>
      </c>
      <c r="E332" s="94"/>
      <c r="F332" s="80"/>
      <c r="G332" s="84"/>
      <c r="H332" s="80"/>
    </row>
    <row r="333" spans="1:8" ht="27.75">
      <c r="A333" s="9">
        <v>151</v>
      </c>
      <c r="B333" s="24" t="s">
        <v>495</v>
      </c>
      <c r="C333" s="67" t="s">
        <v>496</v>
      </c>
      <c r="D333" s="66" t="s">
        <v>497</v>
      </c>
      <c r="E333" s="114">
        <f>84984*1.07</f>
        <v>90932.88</v>
      </c>
      <c r="F333" s="101" t="s">
        <v>463</v>
      </c>
      <c r="G333" s="108" t="s">
        <v>498</v>
      </c>
      <c r="H333" s="70">
        <v>1</v>
      </c>
    </row>
    <row r="334" spans="1:8" ht="27.75">
      <c r="A334" s="15"/>
      <c r="B334" s="76"/>
      <c r="C334" s="73"/>
      <c r="D334" s="72" t="s">
        <v>499</v>
      </c>
      <c r="E334" s="104"/>
      <c r="F334" s="76"/>
      <c r="G334" s="75"/>
      <c r="H334" s="76"/>
    </row>
    <row r="335" spans="1:8" ht="27.75">
      <c r="A335" s="9">
        <v>152</v>
      </c>
      <c r="B335" s="135" t="s">
        <v>500</v>
      </c>
      <c r="C335" s="66" t="s">
        <v>501</v>
      </c>
      <c r="D335" s="77" t="s">
        <v>502</v>
      </c>
      <c r="E335" s="112">
        <f>82200*1.07</f>
        <v>87954</v>
      </c>
      <c r="F335" s="116" t="s">
        <v>463</v>
      </c>
      <c r="G335" s="84" t="s">
        <v>503</v>
      </c>
      <c r="H335" s="70">
        <v>1</v>
      </c>
    </row>
    <row r="336" spans="1:8" ht="27.75">
      <c r="A336" s="15"/>
      <c r="B336" s="81"/>
      <c r="C336" s="77"/>
      <c r="D336" s="125" t="s">
        <v>138</v>
      </c>
      <c r="E336" s="94"/>
      <c r="F336" s="80"/>
      <c r="G336" s="84"/>
      <c r="H336" s="76"/>
    </row>
    <row r="337" spans="1:8" ht="27.75">
      <c r="A337" s="9">
        <v>153</v>
      </c>
      <c r="B337" s="136" t="s">
        <v>504</v>
      </c>
      <c r="C337" s="66" t="s">
        <v>505</v>
      </c>
      <c r="D337" s="66" t="s">
        <v>506</v>
      </c>
      <c r="E337" s="114">
        <f>54800*1.07</f>
        <v>58636</v>
      </c>
      <c r="F337" s="101" t="s">
        <v>463</v>
      </c>
      <c r="G337" s="108" t="s">
        <v>507</v>
      </c>
      <c r="H337" s="80">
        <v>1</v>
      </c>
    </row>
    <row r="338" spans="1:8" ht="27.75">
      <c r="A338" s="15"/>
      <c r="B338" s="71"/>
      <c r="C338" s="72"/>
      <c r="D338" s="72"/>
      <c r="E338" s="104"/>
      <c r="F338" s="76"/>
      <c r="G338" s="75"/>
      <c r="H338" s="80"/>
    </row>
    <row r="339" spans="1:8" ht="27.75">
      <c r="A339" s="9">
        <v>154</v>
      </c>
      <c r="B339" s="127" t="s">
        <v>508</v>
      </c>
      <c r="C339" s="77" t="s">
        <v>509</v>
      </c>
      <c r="D339" s="77" t="s">
        <v>510</v>
      </c>
      <c r="E339" s="112">
        <f>87750*1.07</f>
        <v>93892.5</v>
      </c>
      <c r="F339" s="116" t="s">
        <v>463</v>
      </c>
      <c r="G339" s="84" t="s">
        <v>511</v>
      </c>
      <c r="H339" s="70">
        <v>1</v>
      </c>
    </row>
    <row r="340" spans="1:8" ht="27.75">
      <c r="A340" s="15"/>
      <c r="B340" s="81"/>
      <c r="C340" s="77"/>
      <c r="D340" s="77"/>
      <c r="E340" s="94"/>
      <c r="F340" s="80"/>
      <c r="G340" s="84"/>
      <c r="H340" s="76"/>
    </row>
    <row r="341" spans="1:8" ht="27.75">
      <c r="A341" s="9">
        <v>155</v>
      </c>
      <c r="B341" s="95" t="s">
        <v>512</v>
      </c>
      <c r="C341" s="66" t="s">
        <v>513</v>
      </c>
      <c r="D341" s="66" t="s">
        <v>514</v>
      </c>
      <c r="E341" s="114">
        <f>89900*1.07</f>
        <v>96193</v>
      </c>
      <c r="F341" s="101" t="s">
        <v>463</v>
      </c>
      <c r="G341" s="108" t="s">
        <v>515</v>
      </c>
      <c r="H341" s="80">
        <v>1</v>
      </c>
    </row>
    <row r="342" spans="1:8" ht="27.75">
      <c r="A342" s="15"/>
      <c r="B342" s="71"/>
      <c r="C342" s="72"/>
      <c r="D342" s="121" t="s">
        <v>138</v>
      </c>
      <c r="E342" s="104"/>
      <c r="F342" s="76"/>
      <c r="G342" s="75"/>
      <c r="H342" s="80"/>
    </row>
    <row r="343" spans="1:8" ht="27.75">
      <c r="A343" s="9">
        <v>156</v>
      </c>
      <c r="B343" s="137" t="s">
        <v>516</v>
      </c>
      <c r="C343" s="77" t="s">
        <v>517</v>
      </c>
      <c r="D343" s="77" t="s">
        <v>518</v>
      </c>
      <c r="E343" s="112">
        <f>63800*1.07</f>
        <v>68266</v>
      </c>
      <c r="F343" s="116" t="s">
        <v>463</v>
      </c>
      <c r="G343" s="84" t="s">
        <v>519</v>
      </c>
      <c r="H343" s="70">
        <v>1</v>
      </c>
    </row>
    <row r="344" spans="1:8" ht="27.75">
      <c r="A344" s="15"/>
      <c r="B344" s="81"/>
      <c r="C344" s="77"/>
      <c r="D344" s="125" t="s">
        <v>138</v>
      </c>
      <c r="E344" s="94"/>
      <c r="F344" s="80"/>
      <c r="G344" s="84"/>
      <c r="H344" s="76"/>
    </row>
    <row r="345" spans="1:8" ht="27.75">
      <c r="A345" s="9">
        <v>157</v>
      </c>
      <c r="B345" s="22" t="s">
        <v>520</v>
      </c>
      <c r="C345" s="66" t="s">
        <v>521</v>
      </c>
      <c r="D345" s="66" t="s">
        <v>522</v>
      </c>
      <c r="E345" s="114">
        <f>20400*1.07</f>
        <v>21828</v>
      </c>
      <c r="F345" s="101" t="s">
        <v>463</v>
      </c>
      <c r="G345" s="108" t="s">
        <v>523</v>
      </c>
      <c r="H345" s="70">
        <v>1</v>
      </c>
    </row>
    <row r="346" spans="1:8" ht="27.75">
      <c r="A346" s="15"/>
      <c r="B346" s="76"/>
      <c r="C346" s="72"/>
      <c r="D346" s="72" t="s">
        <v>524</v>
      </c>
      <c r="E346" s="104"/>
      <c r="F346" s="76"/>
      <c r="G346" s="75"/>
      <c r="H346" s="76"/>
    </row>
    <row r="347" spans="1:8" ht="27.75" customHeight="1">
      <c r="A347" s="330" t="s">
        <v>561</v>
      </c>
      <c r="B347" s="332" t="s">
        <v>0</v>
      </c>
      <c r="C347" s="329" t="s">
        <v>1</v>
      </c>
      <c r="D347" s="329" t="s">
        <v>2</v>
      </c>
      <c r="E347" s="329" t="s">
        <v>3</v>
      </c>
      <c r="F347" s="329" t="s">
        <v>4</v>
      </c>
      <c r="G347" s="329"/>
      <c r="H347" s="330" t="s">
        <v>5</v>
      </c>
    </row>
    <row r="348" spans="1:8" ht="54" customHeight="1">
      <c r="A348" s="331"/>
      <c r="B348" s="333"/>
      <c r="C348" s="329"/>
      <c r="D348" s="329"/>
      <c r="E348" s="329"/>
      <c r="F348" s="6" t="s">
        <v>6</v>
      </c>
      <c r="G348" s="6" t="s">
        <v>7</v>
      </c>
      <c r="H348" s="331"/>
    </row>
    <row r="349" spans="1:8" ht="27.75">
      <c r="A349" s="9">
        <v>158</v>
      </c>
      <c r="B349" s="60" t="s">
        <v>27</v>
      </c>
      <c r="C349" s="66" t="s">
        <v>28</v>
      </c>
      <c r="D349" s="66" t="s">
        <v>525</v>
      </c>
      <c r="E349" s="114">
        <f>82560*1.07</f>
        <v>88339.200000000012</v>
      </c>
      <c r="F349" s="101" t="s">
        <v>463</v>
      </c>
      <c r="G349" s="108" t="s">
        <v>526</v>
      </c>
      <c r="H349" s="70">
        <v>1</v>
      </c>
    </row>
    <row r="350" spans="1:8" ht="27.75">
      <c r="A350" s="15"/>
      <c r="B350" s="71"/>
      <c r="C350" s="72"/>
      <c r="D350" s="72"/>
      <c r="E350" s="104"/>
      <c r="F350" s="76"/>
      <c r="G350" s="75"/>
      <c r="H350" s="76"/>
    </row>
    <row r="351" spans="1:8" ht="27.75">
      <c r="A351" s="9">
        <v>159</v>
      </c>
      <c r="B351" s="44" t="s">
        <v>162</v>
      </c>
      <c r="C351" s="66" t="s">
        <v>163</v>
      </c>
      <c r="D351" s="118" t="s">
        <v>527</v>
      </c>
      <c r="E351" s="114">
        <f>4950*1.07</f>
        <v>5296.5</v>
      </c>
      <c r="F351" s="101" t="s">
        <v>463</v>
      </c>
      <c r="G351" s="108" t="s">
        <v>528</v>
      </c>
      <c r="H351" s="70">
        <v>1</v>
      </c>
    </row>
    <row r="352" spans="1:8" ht="27.75">
      <c r="A352" s="15"/>
      <c r="B352" s="76"/>
      <c r="C352" s="72"/>
      <c r="D352" s="138" t="s">
        <v>529</v>
      </c>
      <c r="E352" s="104"/>
      <c r="F352" s="76"/>
      <c r="G352" s="75"/>
      <c r="H352" s="76"/>
    </row>
    <row r="353" spans="1:8" ht="27.75">
      <c r="A353" s="9">
        <v>160</v>
      </c>
      <c r="B353" s="139" t="s">
        <v>45</v>
      </c>
      <c r="C353" s="66" t="s">
        <v>530</v>
      </c>
      <c r="D353" s="66" t="s">
        <v>531</v>
      </c>
      <c r="E353" s="140">
        <f>12240*1.07</f>
        <v>13096.800000000001</v>
      </c>
      <c r="F353" s="101" t="s">
        <v>532</v>
      </c>
      <c r="G353" s="108" t="s">
        <v>533</v>
      </c>
      <c r="H353" s="70">
        <v>1</v>
      </c>
    </row>
    <row r="354" spans="1:8" ht="27.75">
      <c r="A354" s="15"/>
      <c r="B354" s="76"/>
      <c r="C354" s="72"/>
      <c r="D354" s="72"/>
      <c r="E354" s="104"/>
      <c r="F354" s="76"/>
      <c r="G354" s="75"/>
      <c r="H354" s="76"/>
    </row>
    <row r="355" spans="1:8" ht="27.75">
      <c r="A355" s="9">
        <v>161</v>
      </c>
      <c r="B355" s="22" t="s">
        <v>45</v>
      </c>
      <c r="C355" s="77" t="s">
        <v>534</v>
      </c>
      <c r="D355" s="77" t="s">
        <v>535</v>
      </c>
      <c r="E355" s="141">
        <f>93376*1.07</f>
        <v>99912.320000000007</v>
      </c>
      <c r="F355" s="116" t="s">
        <v>532</v>
      </c>
      <c r="G355" s="84" t="s">
        <v>536</v>
      </c>
      <c r="H355" s="80">
        <v>1</v>
      </c>
    </row>
    <row r="356" spans="1:8" ht="27.75">
      <c r="A356" s="15"/>
      <c r="B356" s="76"/>
      <c r="C356" s="77"/>
      <c r="D356" s="125" t="s">
        <v>19</v>
      </c>
      <c r="E356" s="94"/>
      <c r="F356" s="80"/>
      <c r="G356" s="84"/>
      <c r="H356" s="80"/>
    </row>
    <row r="357" spans="1:8" ht="27.75">
      <c r="A357" s="9">
        <v>162</v>
      </c>
      <c r="B357" s="119" t="s">
        <v>508</v>
      </c>
      <c r="C357" s="66" t="s">
        <v>509</v>
      </c>
      <c r="D357" s="66" t="s">
        <v>537</v>
      </c>
      <c r="E357" s="140">
        <f>68030*1.07</f>
        <v>72792.100000000006</v>
      </c>
      <c r="F357" s="101" t="s">
        <v>532</v>
      </c>
      <c r="G357" s="108" t="s">
        <v>538</v>
      </c>
      <c r="H357" s="70">
        <v>1</v>
      </c>
    </row>
    <row r="358" spans="1:8" ht="27.75">
      <c r="A358" s="15"/>
      <c r="B358" s="76"/>
      <c r="C358" s="72"/>
      <c r="D358" s="121" t="s">
        <v>226</v>
      </c>
      <c r="E358" s="104"/>
      <c r="F358" s="76"/>
      <c r="G358" s="75"/>
      <c r="H358" s="76"/>
    </row>
    <row r="359" spans="1:8" ht="27.75">
      <c r="A359" s="9">
        <v>163</v>
      </c>
      <c r="B359" s="119" t="s">
        <v>124</v>
      </c>
      <c r="C359" s="66" t="s">
        <v>290</v>
      </c>
      <c r="D359" s="66" t="s">
        <v>539</v>
      </c>
      <c r="E359" s="140">
        <f>73850*1.07</f>
        <v>79019.5</v>
      </c>
      <c r="F359" s="101" t="s">
        <v>532</v>
      </c>
      <c r="G359" s="108" t="s">
        <v>540</v>
      </c>
      <c r="H359" s="70">
        <v>1</v>
      </c>
    </row>
    <row r="360" spans="1:8" ht="27.75">
      <c r="A360" s="15"/>
      <c r="B360" s="76"/>
      <c r="C360" s="72"/>
      <c r="D360" s="121"/>
      <c r="E360" s="104"/>
      <c r="F360" s="76"/>
      <c r="G360" s="75"/>
      <c r="H360" s="76"/>
    </row>
    <row r="361" spans="1:8" ht="27.75">
      <c r="A361" s="9">
        <v>164</v>
      </c>
      <c r="B361" s="28" t="s">
        <v>9</v>
      </c>
      <c r="C361" s="67" t="s">
        <v>10</v>
      </c>
      <c r="D361" s="66" t="s">
        <v>541</v>
      </c>
      <c r="E361" s="140">
        <f>7020*1.07</f>
        <v>7511.4000000000005</v>
      </c>
      <c r="F361" s="101" t="s">
        <v>532</v>
      </c>
      <c r="G361" s="108" t="s">
        <v>542</v>
      </c>
      <c r="H361" s="70">
        <v>1</v>
      </c>
    </row>
    <row r="362" spans="1:8" ht="27.75">
      <c r="A362" s="15"/>
      <c r="B362" s="76"/>
      <c r="C362" s="73"/>
      <c r="D362" s="121" t="s">
        <v>543</v>
      </c>
      <c r="E362" s="104"/>
      <c r="F362" s="76"/>
      <c r="G362" s="75"/>
      <c r="H362" s="76"/>
    </row>
    <row r="363" spans="1:8" s="150" customFormat="1" ht="27.75">
      <c r="A363" s="14">
        <v>165</v>
      </c>
      <c r="B363" s="209" t="s">
        <v>54</v>
      </c>
      <c r="C363" s="10" t="s">
        <v>243</v>
      </c>
      <c r="D363" s="4" t="s">
        <v>562</v>
      </c>
      <c r="E363" s="151">
        <f>6600*1.07</f>
        <v>7062</v>
      </c>
      <c r="F363" s="69" t="s">
        <v>563</v>
      </c>
      <c r="G363" s="134" t="s">
        <v>564</v>
      </c>
      <c r="H363" s="70">
        <v>1</v>
      </c>
    </row>
    <row r="364" spans="1:8" s="150" customFormat="1" ht="27.75">
      <c r="A364" s="23"/>
      <c r="B364" s="75"/>
      <c r="C364" s="72"/>
      <c r="D364" s="73"/>
      <c r="E364" s="74"/>
      <c r="F364" s="75"/>
      <c r="G364" s="76"/>
      <c r="H364" s="76"/>
    </row>
    <row r="365" spans="1:8" s="150" customFormat="1" ht="27.75">
      <c r="A365" s="14">
        <v>166</v>
      </c>
      <c r="B365" s="209" t="s">
        <v>9</v>
      </c>
      <c r="C365" s="10" t="s">
        <v>10</v>
      </c>
      <c r="D365" s="152" t="s">
        <v>565</v>
      </c>
      <c r="E365" s="151">
        <f>9050*1.07</f>
        <v>9683.5</v>
      </c>
      <c r="F365" s="69" t="s">
        <v>563</v>
      </c>
      <c r="G365" s="134" t="s">
        <v>566</v>
      </c>
      <c r="H365" s="80">
        <v>1</v>
      </c>
    </row>
    <row r="366" spans="1:8" s="150" customFormat="1" ht="27.75">
      <c r="A366" s="23"/>
      <c r="B366" s="75"/>
      <c r="C366" s="72"/>
      <c r="D366" s="89" t="s">
        <v>19</v>
      </c>
      <c r="E366" s="74"/>
      <c r="F366" s="75"/>
      <c r="G366" s="76"/>
      <c r="H366" s="80"/>
    </row>
    <row r="367" spans="1:8" s="150" customFormat="1" ht="27.75">
      <c r="A367" s="14">
        <v>167</v>
      </c>
      <c r="B367" s="153" t="s">
        <v>567</v>
      </c>
      <c r="C367" s="10" t="s">
        <v>568</v>
      </c>
      <c r="D367" s="154" t="s">
        <v>569</v>
      </c>
      <c r="E367" s="155">
        <f>32000*1.07</f>
        <v>34240</v>
      </c>
      <c r="F367" s="156" t="s">
        <v>563</v>
      </c>
      <c r="G367" s="157" t="s">
        <v>570</v>
      </c>
      <c r="H367" s="70">
        <v>1</v>
      </c>
    </row>
    <row r="368" spans="1:8" s="150" customFormat="1" ht="27.75">
      <c r="A368" s="23"/>
      <c r="B368" s="87"/>
      <c r="C368" s="72"/>
      <c r="D368" s="158" t="s">
        <v>571</v>
      </c>
      <c r="E368" s="86"/>
      <c r="F368" s="87"/>
      <c r="G368" s="76"/>
      <c r="H368" s="76"/>
    </row>
    <row r="369" spans="1:17" s="150" customFormat="1" ht="27.75">
      <c r="A369" s="14">
        <v>168</v>
      </c>
      <c r="B369" s="153" t="s">
        <v>567</v>
      </c>
      <c r="C369" s="159" t="s">
        <v>568</v>
      </c>
      <c r="D369" s="4" t="s">
        <v>572</v>
      </c>
      <c r="E369" s="155">
        <f>6200*1.07</f>
        <v>6634</v>
      </c>
      <c r="F369" s="69" t="s">
        <v>563</v>
      </c>
      <c r="G369" s="157" t="s">
        <v>573</v>
      </c>
      <c r="H369" s="70">
        <v>1</v>
      </c>
    </row>
    <row r="370" spans="1:17" s="150" customFormat="1" ht="27.75">
      <c r="A370" s="23"/>
      <c r="B370" s="75"/>
      <c r="C370" s="72"/>
      <c r="D370" s="89"/>
      <c r="E370" s="74"/>
      <c r="F370" s="75"/>
      <c r="G370" s="76"/>
      <c r="H370" s="76"/>
    </row>
    <row r="371" spans="1:17" s="150" customFormat="1" ht="27.75">
      <c r="A371" s="14">
        <v>169</v>
      </c>
      <c r="B371" s="153" t="s">
        <v>567</v>
      </c>
      <c r="C371" s="159" t="s">
        <v>568</v>
      </c>
      <c r="D371" s="4" t="s">
        <v>574</v>
      </c>
      <c r="E371" s="155">
        <f>5000*1.07</f>
        <v>5350</v>
      </c>
      <c r="F371" s="69" t="s">
        <v>563</v>
      </c>
      <c r="G371" s="157" t="s">
        <v>575</v>
      </c>
      <c r="H371" s="80">
        <v>1</v>
      </c>
    </row>
    <row r="372" spans="1:17" s="150" customFormat="1" ht="27.75">
      <c r="A372" s="23"/>
      <c r="B372" s="160"/>
      <c r="C372" s="77"/>
      <c r="E372" s="83"/>
      <c r="F372" s="84"/>
      <c r="G372" s="80"/>
      <c r="H372" s="80"/>
    </row>
    <row r="373" spans="1:17" s="150" customFormat="1" ht="27.75">
      <c r="A373" s="14">
        <v>170</v>
      </c>
      <c r="B373" s="210" t="s">
        <v>14</v>
      </c>
      <c r="C373" s="10" t="s">
        <v>62</v>
      </c>
      <c r="D373" s="152" t="s">
        <v>576</v>
      </c>
      <c r="E373" s="161">
        <f>680*1.07</f>
        <v>727.6</v>
      </c>
      <c r="F373" s="69" t="s">
        <v>577</v>
      </c>
      <c r="G373" s="134" t="s">
        <v>578</v>
      </c>
      <c r="H373" s="70">
        <v>1</v>
      </c>
    </row>
    <row r="374" spans="1:17" s="150" customFormat="1" ht="27.75">
      <c r="A374" s="23"/>
      <c r="B374" s="75"/>
      <c r="C374" s="72"/>
      <c r="D374" s="89" t="s">
        <v>138</v>
      </c>
      <c r="E374" s="74"/>
      <c r="F374" s="75"/>
      <c r="G374" s="76"/>
      <c r="H374" s="76"/>
    </row>
    <row r="375" spans="1:17" s="150" customFormat="1" ht="27.75">
      <c r="A375" s="9">
        <v>171</v>
      </c>
      <c r="B375" s="22" t="s">
        <v>45</v>
      </c>
      <c r="C375" s="10" t="s">
        <v>530</v>
      </c>
      <c r="D375" s="152" t="s">
        <v>531</v>
      </c>
      <c r="E375" s="151">
        <f>12240*1.07</f>
        <v>13096.800000000001</v>
      </c>
      <c r="F375" s="69" t="s">
        <v>577</v>
      </c>
      <c r="G375" s="134" t="s">
        <v>533</v>
      </c>
      <c r="H375" s="70">
        <v>1</v>
      </c>
    </row>
    <row r="376" spans="1:17" s="150" customFormat="1" ht="27.75">
      <c r="A376" s="15"/>
      <c r="B376" s="71"/>
      <c r="C376" s="72"/>
      <c r="D376" s="73"/>
      <c r="E376" s="74"/>
      <c r="F376" s="75"/>
      <c r="G376" s="76"/>
      <c r="H376" s="76"/>
    </row>
    <row r="377" spans="1:17" s="150" customFormat="1" ht="27.75">
      <c r="A377" s="9">
        <v>172</v>
      </c>
      <c r="B377" s="105" t="s">
        <v>100</v>
      </c>
      <c r="C377" s="10" t="s">
        <v>101</v>
      </c>
      <c r="D377" s="152" t="s">
        <v>579</v>
      </c>
      <c r="E377" s="151">
        <f>91200*1.07</f>
        <v>97584</v>
      </c>
      <c r="F377" s="69" t="s">
        <v>577</v>
      </c>
      <c r="G377" s="134" t="s">
        <v>580</v>
      </c>
      <c r="H377" s="70">
        <v>1</v>
      </c>
    </row>
    <row r="378" spans="1:17" s="150" customFormat="1" ht="27" customHeight="1">
      <c r="A378" s="15"/>
      <c r="B378" s="71"/>
      <c r="C378" s="72"/>
      <c r="D378" s="89" t="s">
        <v>138</v>
      </c>
      <c r="E378" s="74"/>
      <c r="F378" s="75"/>
      <c r="G378" s="76"/>
      <c r="H378" s="76"/>
    </row>
    <row r="379" spans="1:17" ht="27.75" customHeight="1">
      <c r="A379" s="330" t="s">
        <v>561</v>
      </c>
      <c r="B379" s="332" t="s">
        <v>0</v>
      </c>
      <c r="C379" s="329" t="s">
        <v>1</v>
      </c>
      <c r="D379" s="329" t="s">
        <v>2</v>
      </c>
      <c r="E379" s="329" t="s">
        <v>3</v>
      </c>
      <c r="F379" s="329" t="s">
        <v>4</v>
      </c>
      <c r="G379" s="329"/>
      <c r="H379" s="330" t="s">
        <v>5</v>
      </c>
    </row>
    <row r="380" spans="1:17" ht="54" customHeight="1">
      <c r="A380" s="331"/>
      <c r="B380" s="333"/>
      <c r="C380" s="329"/>
      <c r="D380" s="329"/>
      <c r="E380" s="329"/>
      <c r="F380" s="6" t="s">
        <v>6</v>
      </c>
      <c r="G380" s="6" t="s">
        <v>7</v>
      </c>
      <c r="H380" s="331"/>
    </row>
    <row r="381" spans="1:17" s="150" customFormat="1" ht="27.75">
      <c r="A381" s="70">
        <v>173</v>
      </c>
      <c r="B381" s="162" t="s">
        <v>581</v>
      </c>
      <c r="C381" s="159" t="s">
        <v>582</v>
      </c>
      <c r="D381" s="163" t="s">
        <v>583</v>
      </c>
      <c r="E381" s="155">
        <f>68500*1.07</f>
        <v>73295</v>
      </c>
      <c r="F381" s="156" t="s">
        <v>577</v>
      </c>
      <c r="G381" s="157" t="s">
        <v>584</v>
      </c>
      <c r="H381" s="70">
        <v>1</v>
      </c>
      <c r="Q381" s="78"/>
    </row>
    <row r="382" spans="1:17" s="150" customFormat="1" ht="27.75">
      <c r="A382" s="76"/>
      <c r="B382" s="75"/>
      <c r="C382" s="72"/>
      <c r="D382" s="73" t="s">
        <v>585</v>
      </c>
      <c r="E382" s="74"/>
      <c r="F382" s="75"/>
      <c r="G382" s="76"/>
      <c r="H382" s="76"/>
    </row>
    <row r="383" spans="1:17" s="150" customFormat="1" ht="27.75">
      <c r="A383" s="70">
        <v>174</v>
      </c>
      <c r="B383" s="162" t="s">
        <v>586</v>
      </c>
      <c r="C383" s="159" t="s">
        <v>587</v>
      </c>
      <c r="D383" s="4" t="s">
        <v>588</v>
      </c>
      <c r="E383" s="155">
        <f>45060*1.07</f>
        <v>48214.200000000004</v>
      </c>
      <c r="F383" s="69" t="s">
        <v>577</v>
      </c>
      <c r="G383" s="157" t="s">
        <v>589</v>
      </c>
      <c r="H383" s="70">
        <v>1</v>
      </c>
    </row>
    <row r="384" spans="1:17" s="150" customFormat="1" ht="22.5" customHeight="1">
      <c r="A384" s="76"/>
      <c r="B384" s="164"/>
      <c r="C384" s="77"/>
      <c r="D384" s="82" t="s">
        <v>138</v>
      </c>
      <c r="E384" s="79"/>
      <c r="F384" s="164"/>
      <c r="G384" s="80"/>
      <c r="H384" s="76"/>
    </row>
    <row r="385" spans="1:8" s="150" customFormat="1" ht="27.75">
      <c r="A385" s="70">
        <v>175</v>
      </c>
      <c r="B385" s="22" t="s">
        <v>590</v>
      </c>
      <c r="C385" s="10" t="s">
        <v>591</v>
      </c>
      <c r="D385" s="152" t="s">
        <v>592</v>
      </c>
      <c r="E385" s="151">
        <f>21964*1.07</f>
        <v>23501.48</v>
      </c>
      <c r="F385" s="69" t="s">
        <v>577</v>
      </c>
      <c r="G385" s="134" t="s">
        <v>593</v>
      </c>
      <c r="H385" s="80">
        <v>1</v>
      </c>
    </row>
    <row r="386" spans="1:8" s="150" customFormat="1" ht="27.75">
      <c r="A386" s="76"/>
      <c r="B386" s="76"/>
      <c r="C386" s="72"/>
      <c r="D386" s="73"/>
      <c r="E386" s="74"/>
      <c r="F386" s="75"/>
      <c r="G386" s="76"/>
      <c r="H386" s="80"/>
    </row>
    <row r="387" spans="1:8" s="150" customFormat="1" ht="27.75">
      <c r="A387" s="70">
        <v>176</v>
      </c>
      <c r="B387" s="44" t="s">
        <v>40</v>
      </c>
      <c r="C387" s="159" t="s">
        <v>594</v>
      </c>
      <c r="D387" s="4" t="s">
        <v>595</v>
      </c>
      <c r="E387" s="155">
        <f>59800*1.07</f>
        <v>63986.000000000007</v>
      </c>
      <c r="F387" s="69" t="s">
        <v>577</v>
      </c>
      <c r="G387" s="157" t="s">
        <v>596</v>
      </c>
      <c r="H387" s="70">
        <v>1</v>
      </c>
    </row>
    <row r="388" spans="1:8" s="150" customFormat="1" ht="27.75">
      <c r="A388" s="76"/>
      <c r="B388" s="75"/>
      <c r="C388" s="72"/>
      <c r="D388" s="73"/>
      <c r="E388" s="74"/>
      <c r="F388" s="75"/>
      <c r="G388" s="76"/>
      <c r="H388" s="76"/>
    </row>
    <row r="389" spans="1:8" s="150" customFormat="1" ht="27.75">
      <c r="A389" s="70">
        <v>177</v>
      </c>
      <c r="B389" s="28" t="s">
        <v>9</v>
      </c>
      <c r="C389" s="10" t="s">
        <v>50</v>
      </c>
      <c r="D389" s="152" t="s">
        <v>597</v>
      </c>
      <c r="E389" s="151">
        <f>84352*1.07</f>
        <v>90256.639999999999</v>
      </c>
      <c r="F389" s="69" t="s">
        <v>577</v>
      </c>
      <c r="G389" s="134" t="s">
        <v>598</v>
      </c>
      <c r="H389" s="70">
        <v>1</v>
      </c>
    </row>
    <row r="390" spans="1:8" s="150" customFormat="1" ht="27.75">
      <c r="A390" s="76"/>
      <c r="B390" s="71"/>
      <c r="C390" s="72"/>
      <c r="D390" s="89" t="s">
        <v>599</v>
      </c>
      <c r="E390" s="74"/>
      <c r="F390" s="75"/>
      <c r="G390" s="76"/>
      <c r="H390" s="76"/>
    </row>
    <row r="391" spans="1:8" s="150" customFormat="1" ht="27.75">
      <c r="A391" s="70">
        <v>178</v>
      </c>
      <c r="B391" s="119" t="s">
        <v>124</v>
      </c>
      <c r="C391" s="10" t="s">
        <v>290</v>
      </c>
      <c r="D391" s="152" t="s">
        <v>600</v>
      </c>
      <c r="E391" s="151">
        <f>63540*1.07</f>
        <v>67987.8</v>
      </c>
      <c r="F391" s="69" t="s">
        <v>577</v>
      </c>
      <c r="G391" s="134" t="s">
        <v>601</v>
      </c>
      <c r="H391" s="70">
        <v>1</v>
      </c>
    </row>
    <row r="392" spans="1:8" s="150" customFormat="1" ht="27.75">
      <c r="A392" s="76"/>
      <c r="B392" s="75"/>
      <c r="C392" s="72"/>
      <c r="D392" s="89" t="s">
        <v>19</v>
      </c>
      <c r="E392" s="74"/>
      <c r="F392" s="75"/>
      <c r="G392" s="76"/>
      <c r="H392" s="76"/>
    </row>
    <row r="393" spans="1:8" s="150" customFormat="1" ht="27.75">
      <c r="A393" s="70">
        <v>179</v>
      </c>
      <c r="B393" s="22" t="s">
        <v>45</v>
      </c>
      <c r="C393" s="10" t="s">
        <v>602</v>
      </c>
      <c r="D393" s="154" t="s">
        <v>603</v>
      </c>
      <c r="E393" s="151">
        <f>4210*1.07</f>
        <v>4504.7</v>
      </c>
      <c r="F393" s="69" t="s">
        <v>577</v>
      </c>
      <c r="G393" s="134" t="s">
        <v>604</v>
      </c>
      <c r="H393" s="70">
        <v>1</v>
      </c>
    </row>
    <row r="394" spans="1:8" s="150" customFormat="1" ht="27.75">
      <c r="A394" s="76"/>
      <c r="B394" s="76"/>
      <c r="C394" s="72"/>
      <c r="D394" s="165" t="s">
        <v>605</v>
      </c>
      <c r="E394" s="74"/>
      <c r="F394" s="75"/>
      <c r="G394" s="76"/>
      <c r="H394" s="76"/>
    </row>
    <row r="395" spans="1:8" s="150" customFormat="1" ht="27.75">
      <c r="A395" s="70">
        <v>180</v>
      </c>
      <c r="B395" s="26" t="s">
        <v>606</v>
      </c>
      <c r="C395" s="10" t="s">
        <v>607</v>
      </c>
      <c r="D395" s="152" t="s">
        <v>608</v>
      </c>
      <c r="E395" s="151">
        <f>67000*1.07</f>
        <v>71690</v>
      </c>
      <c r="F395" s="69" t="s">
        <v>577</v>
      </c>
      <c r="G395" s="134" t="s">
        <v>609</v>
      </c>
      <c r="H395" s="70">
        <v>1</v>
      </c>
    </row>
    <row r="396" spans="1:8" s="150" customFormat="1" ht="27.75">
      <c r="A396" s="76"/>
      <c r="B396" s="71"/>
      <c r="C396" s="72"/>
      <c r="D396" s="73"/>
      <c r="E396" s="86"/>
      <c r="F396" s="75"/>
      <c r="G396" s="76"/>
      <c r="H396" s="76"/>
    </row>
    <row r="397" spans="1:8" s="150" customFormat="1" ht="27.75">
      <c r="A397" s="70">
        <v>181</v>
      </c>
      <c r="B397" s="24" t="s">
        <v>141</v>
      </c>
      <c r="C397" s="159" t="s">
        <v>142</v>
      </c>
      <c r="D397" s="4" t="s">
        <v>610</v>
      </c>
      <c r="E397" s="155">
        <f>4320*1.07</f>
        <v>4622.4000000000005</v>
      </c>
      <c r="F397" s="156" t="s">
        <v>577</v>
      </c>
      <c r="G397" s="157" t="s">
        <v>611</v>
      </c>
      <c r="H397" s="80">
        <v>1</v>
      </c>
    </row>
    <row r="398" spans="1:8" s="150" customFormat="1" ht="27.75">
      <c r="A398" s="76"/>
      <c r="B398" s="71"/>
      <c r="C398" s="72"/>
      <c r="D398" s="73"/>
      <c r="E398" s="74"/>
      <c r="F398" s="75"/>
      <c r="G398" s="76"/>
      <c r="H398" s="80"/>
    </row>
    <row r="399" spans="1:8" s="150" customFormat="1" ht="27.75">
      <c r="A399" s="70">
        <v>182</v>
      </c>
      <c r="B399" s="162" t="s">
        <v>612</v>
      </c>
      <c r="C399" s="10" t="s">
        <v>613</v>
      </c>
      <c r="D399" s="166" t="s">
        <v>614</v>
      </c>
      <c r="E399" s="155">
        <f>89000*1.07</f>
        <v>95230</v>
      </c>
      <c r="F399" s="69" t="s">
        <v>577</v>
      </c>
      <c r="G399" s="157" t="s">
        <v>615</v>
      </c>
      <c r="H399" s="70">
        <v>1</v>
      </c>
    </row>
    <row r="400" spans="1:8" s="150" customFormat="1" ht="27.75">
      <c r="A400" s="76"/>
      <c r="B400" s="71"/>
      <c r="C400" s="72"/>
      <c r="D400" s="158" t="s">
        <v>616</v>
      </c>
      <c r="E400" s="74"/>
      <c r="F400" s="75"/>
      <c r="G400" s="76"/>
      <c r="H400" s="76"/>
    </row>
    <row r="401" spans="1:8" s="150" customFormat="1" ht="27.75">
      <c r="A401" s="70">
        <v>183</v>
      </c>
      <c r="B401" s="162" t="s">
        <v>617</v>
      </c>
      <c r="C401" s="159" t="s">
        <v>618</v>
      </c>
      <c r="D401" s="78" t="s">
        <v>619</v>
      </c>
      <c r="E401" s="155">
        <f>69500*1.07</f>
        <v>74365</v>
      </c>
      <c r="F401" s="69" t="s">
        <v>620</v>
      </c>
      <c r="G401" s="157" t="s">
        <v>621</v>
      </c>
      <c r="H401" s="70">
        <v>1</v>
      </c>
    </row>
    <row r="402" spans="1:8" s="150" customFormat="1" ht="27.75">
      <c r="A402" s="76"/>
      <c r="B402" s="160"/>
      <c r="C402" s="77"/>
      <c r="D402" s="4" t="s">
        <v>622</v>
      </c>
      <c r="E402" s="83"/>
      <c r="F402" s="160"/>
      <c r="G402" s="80"/>
      <c r="H402" s="76"/>
    </row>
    <row r="403" spans="1:8" s="150" customFormat="1" ht="27.75">
      <c r="A403" s="70">
        <v>184</v>
      </c>
      <c r="B403" s="22" t="s">
        <v>623</v>
      </c>
      <c r="C403" s="10" t="s">
        <v>624</v>
      </c>
      <c r="D403" s="152" t="s">
        <v>625</v>
      </c>
      <c r="E403" s="151">
        <f>18000*1.07</f>
        <v>19260</v>
      </c>
      <c r="F403" s="69" t="s">
        <v>620</v>
      </c>
      <c r="G403" s="134" t="s">
        <v>626</v>
      </c>
      <c r="H403" s="70">
        <v>1</v>
      </c>
    </row>
    <row r="404" spans="1:8" s="150" customFormat="1" ht="27.75">
      <c r="A404" s="76"/>
      <c r="B404" s="71"/>
      <c r="C404" s="72"/>
      <c r="D404" s="73"/>
      <c r="E404" s="74"/>
      <c r="F404" s="75"/>
      <c r="G404" s="76"/>
      <c r="H404" s="76"/>
    </row>
    <row r="405" spans="1:8" s="150" customFormat="1" ht="27.75">
      <c r="A405" s="70">
        <v>185</v>
      </c>
      <c r="B405" s="28" t="s">
        <v>54</v>
      </c>
      <c r="C405" s="159" t="s">
        <v>243</v>
      </c>
      <c r="D405" s="4" t="s">
        <v>627</v>
      </c>
      <c r="E405" s="155">
        <f>4500*1.07</f>
        <v>4815</v>
      </c>
      <c r="F405" s="69" t="s">
        <v>620</v>
      </c>
      <c r="G405" s="134" t="s">
        <v>628</v>
      </c>
      <c r="H405" s="70">
        <v>1</v>
      </c>
    </row>
    <row r="406" spans="1:8" s="150" customFormat="1" ht="27.75">
      <c r="A406" s="76"/>
      <c r="B406" s="71"/>
      <c r="C406" s="72"/>
      <c r="D406" s="73"/>
      <c r="E406" s="74"/>
      <c r="F406" s="75"/>
      <c r="G406" s="76"/>
      <c r="H406" s="76"/>
    </row>
    <row r="407" spans="1:8" s="150" customFormat="1" ht="27.75">
      <c r="A407" s="70">
        <v>186</v>
      </c>
      <c r="B407" s="37" t="s">
        <v>27</v>
      </c>
      <c r="C407" s="159" t="s">
        <v>28</v>
      </c>
      <c r="D407" s="4" t="s">
        <v>629</v>
      </c>
      <c r="E407" s="155">
        <f>25200*1.07</f>
        <v>26964</v>
      </c>
      <c r="F407" s="69" t="s">
        <v>620</v>
      </c>
      <c r="G407" s="157" t="s">
        <v>630</v>
      </c>
      <c r="H407" s="70">
        <v>1</v>
      </c>
    </row>
    <row r="408" spans="1:8" s="150" customFormat="1" ht="27.75">
      <c r="A408" s="76"/>
      <c r="B408" s="75"/>
      <c r="C408" s="72"/>
      <c r="D408" s="73"/>
      <c r="E408" s="86"/>
      <c r="F408" s="75"/>
      <c r="G408" s="76"/>
      <c r="H408" s="76"/>
    </row>
    <row r="409" spans="1:8" s="150" customFormat="1" ht="27.75">
      <c r="A409" s="70">
        <v>187</v>
      </c>
      <c r="B409" s="37" t="s">
        <v>27</v>
      </c>
      <c r="C409" s="10" t="s">
        <v>80</v>
      </c>
      <c r="D409" s="211" t="s">
        <v>631</v>
      </c>
      <c r="E409" s="151">
        <f>26100*1.07</f>
        <v>27927</v>
      </c>
      <c r="F409" s="69" t="s">
        <v>620</v>
      </c>
      <c r="G409" s="134" t="s">
        <v>632</v>
      </c>
      <c r="H409" s="70">
        <v>1</v>
      </c>
    </row>
    <row r="410" spans="1:8" s="150" customFormat="1" ht="27.75">
      <c r="A410" s="76"/>
      <c r="B410" s="75"/>
      <c r="C410" s="72"/>
      <c r="D410" s="18" t="s">
        <v>633</v>
      </c>
      <c r="E410" s="74"/>
      <c r="F410" s="75"/>
      <c r="G410" s="76"/>
      <c r="H410" s="76"/>
    </row>
    <row r="411" spans="1:8" ht="27.75" customHeight="1">
      <c r="A411" s="330" t="s">
        <v>561</v>
      </c>
      <c r="B411" s="332" t="s">
        <v>0</v>
      </c>
      <c r="C411" s="329" t="s">
        <v>1</v>
      </c>
      <c r="D411" s="329" t="s">
        <v>2</v>
      </c>
      <c r="E411" s="329" t="s">
        <v>3</v>
      </c>
      <c r="F411" s="329" t="s">
        <v>4</v>
      </c>
      <c r="G411" s="329"/>
      <c r="H411" s="330" t="s">
        <v>5</v>
      </c>
    </row>
    <row r="412" spans="1:8" ht="54" customHeight="1">
      <c r="A412" s="331"/>
      <c r="B412" s="333"/>
      <c r="C412" s="329"/>
      <c r="D412" s="329"/>
      <c r="E412" s="329"/>
      <c r="F412" s="6" t="s">
        <v>6</v>
      </c>
      <c r="G412" s="6" t="s">
        <v>7</v>
      </c>
      <c r="H412" s="331"/>
    </row>
    <row r="413" spans="1:8" s="150" customFormat="1" ht="27.75">
      <c r="A413" s="70">
        <v>188</v>
      </c>
      <c r="B413" s="24" t="s">
        <v>141</v>
      </c>
      <c r="C413" s="10" t="s">
        <v>142</v>
      </c>
      <c r="D413" s="152" t="s">
        <v>634</v>
      </c>
      <c r="E413" s="151">
        <f>49920*1.07</f>
        <v>53414.400000000001</v>
      </c>
      <c r="F413" s="69" t="s">
        <v>620</v>
      </c>
      <c r="G413" s="134" t="s">
        <v>635</v>
      </c>
      <c r="H413" s="70">
        <v>1</v>
      </c>
    </row>
    <row r="414" spans="1:8" s="150" customFormat="1" ht="27.75">
      <c r="A414" s="76"/>
      <c r="B414" s="85"/>
      <c r="C414" s="72"/>
      <c r="D414" s="89" t="s">
        <v>636</v>
      </c>
      <c r="E414" s="86"/>
      <c r="F414" s="87"/>
      <c r="G414" s="76"/>
      <c r="H414" s="76"/>
    </row>
    <row r="415" spans="1:8" s="150" customFormat="1" ht="27.75">
      <c r="A415" s="70">
        <v>189</v>
      </c>
      <c r="B415" s="24" t="s">
        <v>158</v>
      </c>
      <c r="C415" s="4" t="s">
        <v>637</v>
      </c>
      <c r="D415" s="10" t="s">
        <v>638</v>
      </c>
      <c r="E415" s="155">
        <f>61800*1.07</f>
        <v>66126</v>
      </c>
      <c r="F415" s="156" t="s">
        <v>620</v>
      </c>
      <c r="G415" s="157" t="s">
        <v>639</v>
      </c>
      <c r="H415" s="70">
        <v>1</v>
      </c>
    </row>
    <row r="416" spans="1:8" s="150" customFormat="1" ht="27.75">
      <c r="A416" s="76"/>
      <c r="B416" s="80"/>
      <c r="C416" s="78"/>
      <c r="D416" s="167" t="s">
        <v>636</v>
      </c>
      <c r="E416" s="83"/>
      <c r="F416" s="160"/>
      <c r="G416" s="80"/>
      <c r="H416" s="76"/>
    </row>
    <row r="417" spans="1:8" s="150" customFormat="1" ht="27.75">
      <c r="A417" s="70">
        <v>190</v>
      </c>
      <c r="B417" s="22" t="s">
        <v>58</v>
      </c>
      <c r="C417" s="152" t="s">
        <v>270</v>
      </c>
      <c r="D417" s="10" t="s">
        <v>640</v>
      </c>
      <c r="E417" s="151">
        <f>24000*1.07</f>
        <v>25680</v>
      </c>
      <c r="F417" s="69" t="s">
        <v>620</v>
      </c>
      <c r="G417" s="134" t="s">
        <v>641</v>
      </c>
      <c r="H417" s="70">
        <v>1</v>
      </c>
    </row>
    <row r="418" spans="1:8" s="150" customFormat="1" ht="27.75">
      <c r="A418" s="76"/>
      <c r="B418" s="76"/>
      <c r="C418" s="73"/>
      <c r="D418" s="72"/>
      <c r="E418" s="74"/>
      <c r="F418" s="75"/>
      <c r="G418" s="76"/>
      <c r="H418" s="76"/>
    </row>
    <row r="419" spans="1:8" s="150" customFormat="1" ht="27.75">
      <c r="A419" s="70">
        <v>191</v>
      </c>
      <c r="B419" s="37" t="s">
        <v>27</v>
      </c>
      <c r="C419" s="4" t="s">
        <v>80</v>
      </c>
      <c r="D419" s="159" t="s">
        <v>642</v>
      </c>
      <c r="E419" s="155">
        <f>34000*1.07</f>
        <v>36380</v>
      </c>
      <c r="F419" s="69" t="s">
        <v>620</v>
      </c>
      <c r="G419" s="157" t="s">
        <v>643</v>
      </c>
      <c r="H419" s="70">
        <v>1</v>
      </c>
    </row>
    <row r="420" spans="1:8" s="150" customFormat="1" ht="27.75">
      <c r="A420" s="76"/>
      <c r="B420" s="76"/>
      <c r="C420" s="73"/>
      <c r="D420" s="72"/>
      <c r="E420" s="74"/>
      <c r="F420" s="75"/>
      <c r="G420" s="76"/>
      <c r="H420" s="76"/>
    </row>
    <row r="421" spans="1:8" s="150" customFormat="1" ht="27.75">
      <c r="A421" s="70">
        <v>192</v>
      </c>
      <c r="B421" s="28" t="s">
        <v>9</v>
      </c>
      <c r="C421" s="4" t="s">
        <v>50</v>
      </c>
      <c r="D421" s="159" t="s">
        <v>644</v>
      </c>
      <c r="E421" s="155">
        <f>1500*1.07</f>
        <v>1605</v>
      </c>
      <c r="F421" s="69" t="s">
        <v>620</v>
      </c>
      <c r="G421" s="157" t="s">
        <v>645</v>
      </c>
      <c r="H421" s="70">
        <v>1</v>
      </c>
    </row>
    <row r="422" spans="1:8" s="150" customFormat="1" ht="27.75">
      <c r="A422" s="76"/>
      <c r="B422" s="80"/>
      <c r="C422" s="78"/>
      <c r="D422" s="167" t="s">
        <v>19</v>
      </c>
      <c r="E422" s="83"/>
      <c r="F422" s="84"/>
      <c r="G422" s="80"/>
      <c r="H422" s="76"/>
    </row>
    <row r="423" spans="1:8" s="150" customFormat="1" ht="27.75">
      <c r="A423" s="70">
        <v>193</v>
      </c>
      <c r="B423" s="24" t="s">
        <v>141</v>
      </c>
      <c r="C423" s="152" t="s">
        <v>350</v>
      </c>
      <c r="D423" s="10" t="s">
        <v>646</v>
      </c>
      <c r="E423" s="168">
        <f>15306*1.07</f>
        <v>16377.42</v>
      </c>
      <c r="F423" s="101" t="s">
        <v>620</v>
      </c>
      <c r="G423" s="13" t="s">
        <v>647</v>
      </c>
      <c r="H423" s="70">
        <v>1</v>
      </c>
    </row>
    <row r="424" spans="1:8" s="150" customFormat="1" ht="27.75">
      <c r="A424" s="76"/>
      <c r="B424" s="76"/>
      <c r="C424" s="73"/>
      <c r="D424" s="169" t="s">
        <v>138</v>
      </c>
      <c r="E424" s="74"/>
      <c r="F424" s="76"/>
      <c r="G424" s="170"/>
      <c r="H424" s="76"/>
    </row>
    <row r="425" spans="1:8" s="150" customFormat="1" ht="27.75">
      <c r="A425" s="70">
        <v>194</v>
      </c>
      <c r="B425" s="28" t="s">
        <v>9</v>
      </c>
      <c r="C425" s="4" t="s">
        <v>50</v>
      </c>
      <c r="D425" s="159" t="s">
        <v>648</v>
      </c>
      <c r="E425" s="155">
        <f>2880*1.07</f>
        <v>3081.6000000000004</v>
      </c>
      <c r="F425" s="116" t="s">
        <v>620</v>
      </c>
      <c r="G425" s="171" t="s">
        <v>649</v>
      </c>
      <c r="H425" s="70">
        <v>1</v>
      </c>
    </row>
    <row r="426" spans="1:8" s="150" customFormat="1" ht="27.75">
      <c r="A426" s="76"/>
      <c r="B426" s="76"/>
      <c r="C426" s="73"/>
      <c r="D426" s="72"/>
      <c r="E426" s="74"/>
      <c r="F426" s="76"/>
      <c r="G426" s="170"/>
      <c r="H426" s="76"/>
    </row>
    <row r="427" spans="1:8" s="150" customFormat="1" ht="27.75">
      <c r="A427" s="70">
        <v>195</v>
      </c>
      <c r="B427" s="162" t="s">
        <v>867</v>
      </c>
      <c r="C427" s="66" t="s">
        <v>868</v>
      </c>
      <c r="D427" s="77" t="s">
        <v>869</v>
      </c>
      <c r="E427" s="207">
        <v>269640</v>
      </c>
      <c r="F427" s="101" t="s">
        <v>620</v>
      </c>
      <c r="G427" s="84" t="s">
        <v>870</v>
      </c>
      <c r="H427" s="70">
        <v>1</v>
      </c>
    </row>
    <row r="428" spans="1:8" s="150" customFormat="1" ht="27.75">
      <c r="A428" s="76"/>
      <c r="B428" s="81"/>
      <c r="C428" s="77"/>
      <c r="D428" s="77"/>
      <c r="E428" s="94"/>
      <c r="F428" s="80"/>
      <c r="G428" s="84"/>
      <c r="H428" s="76"/>
    </row>
    <row r="429" spans="1:8" s="150" customFormat="1" ht="27.75">
      <c r="A429" s="70">
        <v>196</v>
      </c>
      <c r="B429" s="24" t="s">
        <v>384</v>
      </c>
      <c r="C429" s="152" t="s">
        <v>650</v>
      </c>
      <c r="D429" s="10" t="s">
        <v>651</v>
      </c>
      <c r="E429" s="151">
        <f>14000*1.07</f>
        <v>14980</v>
      </c>
      <c r="F429" s="101" t="s">
        <v>652</v>
      </c>
      <c r="G429" s="13" t="s">
        <v>653</v>
      </c>
      <c r="H429" s="70">
        <v>1</v>
      </c>
    </row>
    <row r="430" spans="1:8" s="150" customFormat="1" ht="27.75">
      <c r="A430" s="76"/>
      <c r="B430" s="76"/>
      <c r="C430" s="73"/>
      <c r="D430" s="17" t="s">
        <v>654</v>
      </c>
      <c r="E430" s="74"/>
      <c r="F430" s="76"/>
      <c r="G430" s="170"/>
      <c r="H430" s="76"/>
    </row>
    <row r="431" spans="1:8" s="150" customFormat="1" ht="27.75">
      <c r="A431" s="70">
        <v>197</v>
      </c>
      <c r="B431" s="36" t="s">
        <v>14</v>
      </c>
      <c r="C431" s="152" t="s">
        <v>62</v>
      </c>
      <c r="D431" s="172" t="s">
        <v>655</v>
      </c>
      <c r="E431" s="151">
        <f>2300*1.07</f>
        <v>2461</v>
      </c>
      <c r="F431" s="101" t="s">
        <v>652</v>
      </c>
      <c r="G431" s="26" t="s">
        <v>656</v>
      </c>
      <c r="H431" s="70">
        <v>1</v>
      </c>
    </row>
    <row r="432" spans="1:8" s="150" customFormat="1" ht="27.75">
      <c r="A432" s="76"/>
      <c r="B432" s="76"/>
      <c r="C432" s="73"/>
      <c r="D432" s="17" t="s">
        <v>657</v>
      </c>
      <c r="E432" s="74"/>
      <c r="F432" s="76"/>
      <c r="G432" s="170"/>
      <c r="H432" s="76"/>
    </row>
    <row r="433" spans="1:8" s="150" customFormat="1" ht="27.75">
      <c r="A433" s="70">
        <v>198</v>
      </c>
      <c r="B433" s="26" t="s">
        <v>658</v>
      </c>
      <c r="C433" s="10" t="s">
        <v>876</v>
      </c>
      <c r="D433" s="10" t="s">
        <v>659</v>
      </c>
      <c r="E433" s="173">
        <f>65700*1.07</f>
        <v>70299</v>
      </c>
      <c r="F433" s="101" t="s">
        <v>660</v>
      </c>
      <c r="G433" s="13" t="s">
        <v>661</v>
      </c>
      <c r="H433" s="70">
        <v>1</v>
      </c>
    </row>
    <row r="434" spans="1:8" s="150" customFormat="1" ht="27.75">
      <c r="A434" s="76"/>
      <c r="B434" s="71"/>
      <c r="C434" s="72" t="s">
        <v>113</v>
      </c>
      <c r="D434" s="17" t="s">
        <v>662</v>
      </c>
      <c r="E434" s="109"/>
      <c r="F434" s="76"/>
      <c r="G434" s="170"/>
      <c r="H434" s="76"/>
    </row>
    <row r="435" spans="1:8" s="150" customFormat="1" ht="27.75">
      <c r="A435" s="70">
        <v>199</v>
      </c>
      <c r="B435" s="105" t="s">
        <v>100</v>
      </c>
      <c r="C435" s="10" t="s">
        <v>663</v>
      </c>
      <c r="D435" s="152" t="s">
        <v>664</v>
      </c>
      <c r="E435" s="173">
        <f>38000*1.07</f>
        <v>40660</v>
      </c>
      <c r="F435" s="101" t="s">
        <v>665</v>
      </c>
      <c r="G435" s="13" t="s">
        <v>666</v>
      </c>
      <c r="H435" s="70">
        <v>1</v>
      </c>
    </row>
    <row r="436" spans="1:8" s="150" customFormat="1" ht="27.75">
      <c r="A436" s="76"/>
      <c r="B436" s="71"/>
      <c r="C436" s="72"/>
      <c r="D436" s="73"/>
      <c r="E436" s="109"/>
      <c r="F436" s="76"/>
      <c r="G436" s="170"/>
      <c r="H436" s="76"/>
    </row>
    <row r="437" spans="1:8" s="150" customFormat="1" ht="27.75">
      <c r="A437" s="70">
        <v>200</v>
      </c>
      <c r="B437" s="36" t="s">
        <v>14</v>
      </c>
      <c r="C437" s="159" t="s">
        <v>15</v>
      </c>
      <c r="D437" s="4" t="s">
        <v>667</v>
      </c>
      <c r="E437" s="174">
        <f>11730*1.07</f>
        <v>12551.1</v>
      </c>
      <c r="F437" s="101" t="s">
        <v>665</v>
      </c>
      <c r="G437" s="171" t="s">
        <v>668</v>
      </c>
      <c r="H437" s="80">
        <v>1</v>
      </c>
    </row>
    <row r="438" spans="1:8" s="150" customFormat="1" ht="27.75">
      <c r="A438" s="76"/>
      <c r="B438" s="84"/>
      <c r="C438" s="77"/>
      <c r="D438" s="82" t="s">
        <v>138</v>
      </c>
      <c r="E438" s="149"/>
      <c r="F438" s="80"/>
      <c r="G438" s="175"/>
      <c r="H438" s="80"/>
    </row>
    <row r="439" spans="1:8" s="150" customFormat="1" ht="27.75">
      <c r="A439" s="70">
        <v>201</v>
      </c>
      <c r="B439" s="24" t="s">
        <v>141</v>
      </c>
      <c r="C439" s="10" t="s">
        <v>340</v>
      </c>
      <c r="D439" s="152" t="s">
        <v>669</v>
      </c>
      <c r="E439" s="173">
        <f>3580*1.07</f>
        <v>3830.6000000000004</v>
      </c>
      <c r="F439" s="101" t="s">
        <v>665</v>
      </c>
      <c r="G439" s="13" t="s">
        <v>670</v>
      </c>
      <c r="H439" s="70">
        <v>1</v>
      </c>
    </row>
    <row r="440" spans="1:8" s="150" customFormat="1" ht="27.75">
      <c r="A440" s="76"/>
      <c r="B440" s="71"/>
      <c r="C440" s="72"/>
      <c r="D440" s="89" t="s">
        <v>19</v>
      </c>
      <c r="E440" s="109"/>
      <c r="F440" s="76"/>
      <c r="G440" s="170"/>
      <c r="H440" s="76"/>
    </row>
    <row r="441" spans="1:8" s="150" customFormat="1" ht="27.75">
      <c r="A441" s="70">
        <v>202</v>
      </c>
      <c r="B441" s="44" t="s">
        <v>162</v>
      </c>
      <c r="C441" s="10" t="s">
        <v>163</v>
      </c>
      <c r="D441" s="152" t="s">
        <v>671</v>
      </c>
      <c r="E441" s="173">
        <f>4080*1.07</f>
        <v>4365.6000000000004</v>
      </c>
      <c r="F441" s="101" t="s">
        <v>665</v>
      </c>
      <c r="G441" s="26" t="s">
        <v>672</v>
      </c>
      <c r="H441" s="70">
        <v>1</v>
      </c>
    </row>
    <row r="442" spans="1:8" s="150" customFormat="1" ht="27.75">
      <c r="A442" s="76"/>
      <c r="B442" s="76"/>
      <c r="C442" s="72"/>
      <c r="D442" s="18" t="s">
        <v>673</v>
      </c>
      <c r="E442" s="109"/>
      <c r="F442" s="76"/>
      <c r="G442" s="170"/>
      <c r="H442" s="76"/>
    </row>
    <row r="443" spans="1:8" ht="27.75" customHeight="1">
      <c r="A443" s="330" t="s">
        <v>561</v>
      </c>
      <c r="B443" s="332" t="s">
        <v>0</v>
      </c>
      <c r="C443" s="329" t="s">
        <v>1</v>
      </c>
      <c r="D443" s="329" t="s">
        <v>2</v>
      </c>
      <c r="E443" s="329" t="s">
        <v>3</v>
      </c>
      <c r="F443" s="329" t="s">
        <v>4</v>
      </c>
      <c r="G443" s="329"/>
      <c r="H443" s="330" t="s">
        <v>5</v>
      </c>
    </row>
    <row r="444" spans="1:8" ht="54" customHeight="1">
      <c r="A444" s="331"/>
      <c r="B444" s="333"/>
      <c r="C444" s="329"/>
      <c r="D444" s="329"/>
      <c r="E444" s="329"/>
      <c r="F444" s="6" t="s">
        <v>6</v>
      </c>
      <c r="G444" s="6" t="s">
        <v>7</v>
      </c>
      <c r="H444" s="331"/>
    </row>
    <row r="445" spans="1:8" s="150" customFormat="1" ht="27.75">
      <c r="A445" s="70">
        <v>203</v>
      </c>
      <c r="B445" s="162" t="s">
        <v>45</v>
      </c>
      <c r="C445" s="176" t="s">
        <v>674</v>
      </c>
      <c r="D445" s="10" t="s">
        <v>675</v>
      </c>
      <c r="E445" s="11">
        <f>12400*1.07</f>
        <v>13268</v>
      </c>
      <c r="F445" s="101" t="s">
        <v>665</v>
      </c>
      <c r="G445" s="13" t="s">
        <v>676</v>
      </c>
      <c r="H445" s="80">
        <v>1</v>
      </c>
    </row>
    <row r="446" spans="1:8" s="150" customFormat="1" ht="27.75">
      <c r="A446" s="76"/>
      <c r="B446" s="71"/>
      <c r="C446" s="115"/>
      <c r="D446" s="169" t="s">
        <v>138</v>
      </c>
      <c r="E446" s="104"/>
      <c r="F446" s="76"/>
      <c r="G446" s="170"/>
      <c r="H446" s="80"/>
    </row>
    <row r="447" spans="1:8" s="150" customFormat="1" ht="27.75">
      <c r="A447" s="70">
        <v>204</v>
      </c>
      <c r="B447" s="22" t="s">
        <v>324</v>
      </c>
      <c r="C447" s="66" t="s">
        <v>871</v>
      </c>
      <c r="D447" s="66" t="s">
        <v>872</v>
      </c>
      <c r="E447" s="208">
        <v>115025</v>
      </c>
      <c r="F447" s="101" t="s">
        <v>665</v>
      </c>
      <c r="G447" s="70" t="s">
        <v>873</v>
      </c>
      <c r="H447" s="70">
        <v>1</v>
      </c>
    </row>
    <row r="448" spans="1:8" s="150" customFormat="1" ht="27.75">
      <c r="A448" s="76"/>
      <c r="B448" s="76"/>
      <c r="C448" s="72"/>
      <c r="D448" s="72"/>
      <c r="E448" s="104"/>
      <c r="F448" s="76"/>
      <c r="G448" s="76"/>
      <c r="H448" s="76"/>
    </row>
    <row r="449" spans="1:12" s="150" customFormat="1" ht="27.75">
      <c r="A449" s="70">
        <v>205</v>
      </c>
      <c r="B449" s="36" t="s">
        <v>14</v>
      </c>
      <c r="C449" s="152" t="s">
        <v>15</v>
      </c>
      <c r="D449" s="10" t="s">
        <v>677</v>
      </c>
      <c r="E449" s="11">
        <f>5800*1.07</f>
        <v>6206</v>
      </c>
      <c r="F449" s="101" t="s">
        <v>678</v>
      </c>
      <c r="G449" s="13" t="s">
        <v>679</v>
      </c>
      <c r="H449" s="70">
        <v>1</v>
      </c>
    </row>
    <row r="450" spans="1:12" s="150" customFormat="1" ht="27.75">
      <c r="A450" s="76"/>
      <c r="B450" s="85"/>
      <c r="C450" s="115"/>
      <c r="D450" s="169" t="s">
        <v>636</v>
      </c>
      <c r="E450" s="177"/>
      <c r="F450" s="178"/>
      <c r="G450" s="170"/>
      <c r="H450" s="76"/>
    </row>
    <row r="451" spans="1:12" s="150" customFormat="1" ht="27.75">
      <c r="A451" s="70">
        <v>206</v>
      </c>
      <c r="B451" s="179" t="s">
        <v>504</v>
      </c>
      <c r="C451" s="152" t="s">
        <v>505</v>
      </c>
      <c r="D451" s="10" t="s">
        <v>680</v>
      </c>
      <c r="E451" s="11">
        <f>22200*1.07</f>
        <v>23754</v>
      </c>
      <c r="F451" s="101" t="s">
        <v>678</v>
      </c>
      <c r="G451" s="26" t="s">
        <v>681</v>
      </c>
      <c r="H451" s="70">
        <v>1</v>
      </c>
      <c r="L451" s="78"/>
    </row>
    <row r="452" spans="1:12" s="150" customFormat="1" ht="27.75">
      <c r="A452" s="76"/>
      <c r="B452" s="75"/>
      <c r="C452" s="115"/>
      <c r="D452" s="169" t="s">
        <v>138</v>
      </c>
      <c r="E452" s="104"/>
      <c r="F452" s="76"/>
      <c r="G452" s="170"/>
      <c r="H452" s="76"/>
    </row>
    <row r="453" spans="1:12" s="150" customFormat="1" ht="27.75">
      <c r="A453" s="70">
        <v>207</v>
      </c>
      <c r="B453" s="24" t="s">
        <v>368</v>
      </c>
      <c r="C453" s="180" t="s">
        <v>607</v>
      </c>
      <c r="D453" s="10" t="s">
        <v>682</v>
      </c>
      <c r="E453" s="11">
        <f>67000*1.07</f>
        <v>71690</v>
      </c>
      <c r="F453" s="101" t="s">
        <v>678</v>
      </c>
      <c r="G453" s="13" t="s">
        <v>683</v>
      </c>
      <c r="H453" s="181">
        <v>1</v>
      </c>
    </row>
    <row r="454" spans="1:12" s="150" customFormat="1" ht="27.75">
      <c r="A454" s="76"/>
      <c r="B454" s="71"/>
      <c r="C454" s="115"/>
      <c r="D454" s="72"/>
      <c r="E454" s="104"/>
      <c r="F454" s="76"/>
      <c r="G454" s="170"/>
      <c r="H454" s="170"/>
    </row>
    <row r="455" spans="1:12" s="150" customFormat="1" ht="27.75">
      <c r="A455" s="70">
        <v>208</v>
      </c>
      <c r="B455" s="162" t="s">
        <v>397</v>
      </c>
      <c r="C455" s="182" t="s">
        <v>684</v>
      </c>
      <c r="D455" s="159" t="s">
        <v>685</v>
      </c>
      <c r="E455" s="183">
        <f>80200*1.07</f>
        <v>85814</v>
      </c>
      <c r="F455" s="101" t="s">
        <v>678</v>
      </c>
      <c r="G455" s="184" t="s">
        <v>686</v>
      </c>
      <c r="H455" s="181">
        <v>1</v>
      </c>
    </row>
    <row r="456" spans="1:12" s="150" customFormat="1" ht="27.75">
      <c r="A456" s="76"/>
      <c r="B456" s="71"/>
      <c r="C456" s="115"/>
      <c r="D456" s="72"/>
      <c r="E456" s="104"/>
      <c r="F456" s="76"/>
      <c r="G456" s="170"/>
      <c r="H456" s="170"/>
    </row>
    <row r="457" spans="1:12" s="150" customFormat="1" ht="27.75">
      <c r="A457" s="70">
        <v>209</v>
      </c>
      <c r="B457" s="185" t="s">
        <v>435</v>
      </c>
      <c r="C457" s="10" t="s">
        <v>436</v>
      </c>
      <c r="D457" s="159" t="s">
        <v>687</v>
      </c>
      <c r="E457" s="183">
        <f>20400*1.07</f>
        <v>21828</v>
      </c>
      <c r="F457" s="101" t="s">
        <v>678</v>
      </c>
      <c r="G457" s="184" t="s">
        <v>688</v>
      </c>
      <c r="H457" s="181">
        <v>1</v>
      </c>
    </row>
    <row r="458" spans="1:12" s="150" customFormat="1" ht="27.75">
      <c r="A458" s="76"/>
      <c r="B458" s="27"/>
      <c r="C458" s="72"/>
      <c r="D458" s="159" t="s">
        <v>689</v>
      </c>
      <c r="E458" s="94"/>
      <c r="F458" s="80"/>
      <c r="G458" s="175"/>
      <c r="H458" s="175"/>
    </row>
    <row r="459" spans="1:12" s="150" customFormat="1" ht="27.75">
      <c r="A459" s="70">
        <v>210</v>
      </c>
      <c r="B459" s="119" t="s">
        <v>124</v>
      </c>
      <c r="C459" s="180" t="s">
        <v>290</v>
      </c>
      <c r="D459" s="10" t="s">
        <v>690</v>
      </c>
      <c r="E459" s="11">
        <f>88200*1.07</f>
        <v>94374</v>
      </c>
      <c r="F459" s="101" t="s">
        <v>691</v>
      </c>
      <c r="G459" s="13" t="s">
        <v>692</v>
      </c>
      <c r="H459" s="181">
        <v>1</v>
      </c>
    </row>
    <row r="460" spans="1:12" s="150" customFormat="1" ht="27.75">
      <c r="A460" s="76"/>
      <c r="B460" s="71"/>
      <c r="C460" s="115"/>
      <c r="D460" s="72"/>
      <c r="E460" s="104"/>
      <c r="F460" s="76"/>
      <c r="G460" s="170"/>
      <c r="H460" s="170"/>
    </row>
    <row r="461" spans="1:12" s="150" customFormat="1" ht="27.75">
      <c r="A461" s="70">
        <v>211</v>
      </c>
      <c r="B461" s="28" t="s">
        <v>54</v>
      </c>
      <c r="C461" s="182" t="s">
        <v>243</v>
      </c>
      <c r="D461" s="186" t="s">
        <v>693</v>
      </c>
      <c r="E461" s="183">
        <f>8958*1.07</f>
        <v>9585.0600000000013</v>
      </c>
      <c r="F461" s="116" t="s">
        <v>691</v>
      </c>
      <c r="G461" s="184" t="s">
        <v>694</v>
      </c>
      <c r="H461" s="175">
        <v>1</v>
      </c>
    </row>
    <row r="462" spans="1:12" s="150" customFormat="1" ht="27.75">
      <c r="A462" s="76"/>
      <c r="B462" s="71"/>
      <c r="C462" s="115"/>
      <c r="D462" s="169" t="s">
        <v>695</v>
      </c>
      <c r="E462" s="104"/>
      <c r="F462" s="76"/>
      <c r="G462" s="170"/>
      <c r="H462" s="170"/>
    </row>
    <row r="463" spans="1:12" s="150" customFormat="1" ht="27.75">
      <c r="A463" s="70">
        <v>212</v>
      </c>
      <c r="B463" s="28" t="s">
        <v>9</v>
      </c>
      <c r="C463" s="182" t="s">
        <v>10</v>
      </c>
      <c r="D463" s="159" t="s">
        <v>696</v>
      </c>
      <c r="E463" s="183">
        <f>4800*1.07</f>
        <v>5136</v>
      </c>
      <c r="F463" s="101" t="s">
        <v>691</v>
      </c>
      <c r="G463" s="184" t="s">
        <v>697</v>
      </c>
      <c r="H463" s="181">
        <v>1</v>
      </c>
    </row>
    <row r="464" spans="1:12" s="150" customFormat="1" ht="27.75">
      <c r="A464" s="76"/>
      <c r="B464" s="71"/>
      <c r="C464" s="115"/>
      <c r="D464" s="72"/>
      <c r="E464" s="104"/>
      <c r="F464" s="76"/>
      <c r="G464" s="170"/>
      <c r="H464" s="170"/>
    </row>
    <row r="465" spans="1:8" s="150" customFormat="1" ht="27.75">
      <c r="A465" s="70">
        <v>213</v>
      </c>
      <c r="B465" s="187" t="s">
        <v>698</v>
      </c>
      <c r="C465" s="182" t="s">
        <v>699</v>
      </c>
      <c r="D465" s="159" t="s">
        <v>700</v>
      </c>
      <c r="E465" s="183">
        <f>25400*1.07</f>
        <v>27178</v>
      </c>
      <c r="F465" s="101" t="s">
        <v>691</v>
      </c>
      <c r="G465" s="184" t="s">
        <v>701</v>
      </c>
      <c r="H465" s="181">
        <v>1</v>
      </c>
    </row>
    <row r="466" spans="1:8" s="150" customFormat="1" ht="27.75">
      <c r="A466" s="76"/>
      <c r="B466" s="71"/>
      <c r="C466" s="115"/>
      <c r="D466" s="72" t="s">
        <v>702</v>
      </c>
      <c r="E466" s="104"/>
      <c r="F466" s="76"/>
      <c r="G466" s="170"/>
      <c r="H466" s="170"/>
    </row>
    <row r="467" spans="1:8" s="150" customFormat="1" ht="27.75">
      <c r="A467" s="70">
        <v>214</v>
      </c>
      <c r="B467" s="22" t="s">
        <v>115</v>
      </c>
      <c r="C467" s="180" t="s">
        <v>116</v>
      </c>
      <c r="D467" s="10" t="s">
        <v>703</v>
      </c>
      <c r="E467" s="11">
        <f>90000*1.07</f>
        <v>96300</v>
      </c>
      <c r="F467" s="101" t="s">
        <v>691</v>
      </c>
      <c r="G467" s="13" t="s">
        <v>704</v>
      </c>
      <c r="H467" s="181">
        <v>1</v>
      </c>
    </row>
    <row r="468" spans="1:8" s="150" customFormat="1" ht="27.75">
      <c r="A468" s="76"/>
      <c r="B468" s="71"/>
      <c r="C468" s="115"/>
      <c r="D468" s="188" t="s">
        <v>705</v>
      </c>
      <c r="E468" s="104"/>
      <c r="F468" s="76"/>
      <c r="G468" s="170"/>
      <c r="H468" s="170"/>
    </row>
    <row r="469" spans="1:8" s="150" customFormat="1" ht="27.75">
      <c r="A469" s="70">
        <v>215</v>
      </c>
      <c r="B469" s="37" t="s">
        <v>27</v>
      </c>
      <c r="C469" s="180" t="s">
        <v>80</v>
      </c>
      <c r="D469" s="66" t="s">
        <v>706</v>
      </c>
      <c r="E469" s="11">
        <f>28900*1.07</f>
        <v>30923</v>
      </c>
      <c r="F469" s="101" t="s">
        <v>691</v>
      </c>
      <c r="G469" s="13" t="s">
        <v>707</v>
      </c>
      <c r="H469" s="181">
        <v>1</v>
      </c>
    </row>
    <row r="470" spans="1:8" s="150" customFormat="1" ht="27.75">
      <c r="A470" s="76"/>
      <c r="B470" s="71"/>
      <c r="C470" s="115"/>
      <c r="D470" s="169" t="s">
        <v>226</v>
      </c>
      <c r="E470" s="104"/>
      <c r="F470" s="76"/>
      <c r="G470" s="170"/>
      <c r="H470" s="170"/>
    </row>
    <row r="471" spans="1:8" s="150" customFormat="1" ht="27.75">
      <c r="A471" s="70">
        <v>216</v>
      </c>
      <c r="B471" s="37" t="s">
        <v>27</v>
      </c>
      <c r="C471" s="182" t="s">
        <v>708</v>
      </c>
      <c r="D471" s="159" t="s">
        <v>709</v>
      </c>
      <c r="E471" s="183">
        <f>32540*1.07</f>
        <v>34817.800000000003</v>
      </c>
      <c r="F471" s="101" t="s">
        <v>691</v>
      </c>
      <c r="G471" s="184" t="s">
        <v>710</v>
      </c>
      <c r="H471" s="181">
        <v>1</v>
      </c>
    </row>
    <row r="472" spans="1:8" s="150" customFormat="1" ht="27.75">
      <c r="A472" s="76"/>
      <c r="B472" s="81"/>
      <c r="C472" s="111"/>
      <c r="D472" s="159" t="s">
        <v>711</v>
      </c>
      <c r="E472" s="94"/>
      <c r="F472" s="80"/>
      <c r="G472" s="175"/>
      <c r="H472" s="175"/>
    </row>
    <row r="473" spans="1:8" s="150" customFormat="1" ht="27.75">
      <c r="A473" s="70">
        <v>217</v>
      </c>
      <c r="B473" s="37" t="s">
        <v>27</v>
      </c>
      <c r="C473" s="180" t="s">
        <v>28</v>
      </c>
      <c r="D473" s="10" t="s">
        <v>712</v>
      </c>
      <c r="E473" s="11">
        <f>16800*1.07</f>
        <v>17976</v>
      </c>
      <c r="F473" s="101" t="s">
        <v>691</v>
      </c>
      <c r="G473" s="13" t="s">
        <v>713</v>
      </c>
      <c r="H473" s="181">
        <v>1</v>
      </c>
    </row>
    <row r="474" spans="1:8" s="150" customFormat="1" ht="27.75">
      <c r="A474" s="76"/>
      <c r="B474" s="71"/>
      <c r="C474" s="115"/>
      <c r="D474" s="72"/>
      <c r="E474" s="104"/>
      <c r="F474" s="76"/>
      <c r="G474" s="170"/>
      <c r="H474" s="170"/>
    </row>
    <row r="475" spans="1:8" ht="27.75" customHeight="1">
      <c r="A475" s="330" t="s">
        <v>561</v>
      </c>
      <c r="B475" s="332" t="s">
        <v>0</v>
      </c>
      <c r="C475" s="329" t="s">
        <v>1</v>
      </c>
      <c r="D475" s="329" t="s">
        <v>2</v>
      </c>
      <c r="E475" s="329" t="s">
        <v>3</v>
      </c>
      <c r="F475" s="329" t="s">
        <v>4</v>
      </c>
      <c r="G475" s="329"/>
      <c r="H475" s="330" t="s">
        <v>5</v>
      </c>
    </row>
    <row r="476" spans="1:8" ht="54" customHeight="1">
      <c r="A476" s="331"/>
      <c r="B476" s="333"/>
      <c r="C476" s="329"/>
      <c r="D476" s="329"/>
      <c r="E476" s="329"/>
      <c r="F476" s="6" t="s">
        <v>6</v>
      </c>
      <c r="G476" s="6" t="s">
        <v>7</v>
      </c>
      <c r="H476" s="331"/>
    </row>
    <row r="477" spans="1:8" s="150" customFormat="1" ht="27.75">
      <c r="A477" s="70">
        <v>218</v>
      </c>
      <c r="B477" s="70" t="s">
        <v>183</v>
      </c>
      <c r="C477" s="180" t="s">
        <v>184</v>
      </c>
      <c r="D477" s="10" t="s">
        <v>714</v>
      </c>
      <c r="E477" s="11">
        <f>62010*1.07</f>
        <v>66350.7</v>
      </c>
      <c r="F477" s="101" t="s">
        <v>691</v>
      </c>
      <c r="G477" s="13" t="s">
        <v>715</v>
      </c>
      <c r="H477" s="181">
        <v>1</v>
      </c>
    </row>
    <row r="478" spans="1:8" s="150" customFormat="1" ht="27.75">
      <c r="A478" s="76"/>
      <c r="B478" s="71"/>
      <c r="C478" s="115"/>
      <c r="D478" s="72" t="s">
        <v>716</v>
      </c>
      <c r="E478" s="104"/>
      <c r="F478" s="76"/>
      <c r="G478" s="170"/>
      <c r="H478" s="170"/>
    </row>
    <row r="479" spans="1:8" s="150" customFormat="1" ht="27.75">
      <c r="A479" s="70">
        <v>219</v>
      </c>
      <c r="B479" s="70" t="s">
        <v>183</v>
      </c>
      <c r="C479" s="180" t="s">
        <v>184</v>
      </c>
      <c r="D479" s="10" t="s">
        <v>717</v>
      </c>
      <c r="E479" s="11">
        <f>8370*1.07</f>
        <v>8955.9</v>
      </c>
      <c r="F479" s="101" t="s">
        <v>691</v>
      </c>
      <c r="G479" s="13" t="s">
        <v>718</v>
      </c>
      <c r="H479" s="181">
        <v>1</v>
      </c>
    </row>
    <row r="480" spans="1:8" s="150" customFormat="1" ht="27.75">
      <c r="A480" s="76"/>
      <c r="B480" s="71"/>
      <c r="C480" s="115"/>
      <c r="D480" s="188" t="s">
        <v>719</v>
      </c>
      <c r="E480" s="104"/>
      <c r="F480" s="76"/>
      <c r="G480" s="170"/>
      <c r="H480" s="170"/>
    </row>
    <row r="481" spans="1:13" s="150" customFormat="1" ht="27.75">
      <c r="A481" s="70">
        <v>220</v>
      </c>
      <c r="B481" s="153" t="s">
        <v>567</v>
      </c>
      <c r="C481" s="2" t="s">
        <v>720</v>
      </c>
      <c r="D481" s="159" t="s">
        <v>721</v>
      </c>
      <c r="E481" s="183">
        <f>90000*1.07</f>
        <v>96300</v>
      </c>
      <c r="F481" s="116" t="s">
        <v>691</v>
      </c>
      <c r="G481" s="184" t="s">
        <v>722</v>
      </c>
      <c r="H481" s="175">
        <v>1</v>
      </c>
    </row>
    <row r="482" spans="1:13" s="150" customFormat="1" ht="27.75">
      <c r="A482" s="76"/>
      <c r="B482" s="76"/>
      <c r="C482" s="115"/>
      <c r="D482" s="189" t="s">
        <v>723</v>
      </c>
      <c r="E482" s="104"/>
      <c r="F482" s="76"/>
      <c r="G482" s="170"/>
      <c r="H482" s="170"/>
    </row>
    <row r="483" spans="1:13" s="150" customFormat="1" ht="27.75">
      <c r="A483" s="70">
        <v>221</v>
      </c>
      <c r="B483" s="22" t="s">
        <v>45</v>
      </c>
      <c r="C483" s="152" t="s">
        <v>724</v>
      </c>
      <c r="D483" s="10" t="s">
        <v>725</v>
      </c>
      <c r="E483" s="11">
        <f>92000*1.07</f>
        <v>98440</v>
      </c>
      <c r="F483" s="101" t="s">
        <v>691</v>
      </c>
      <c r="G483" s="13" t="s">
        <v>726</v>
      </c>
      <c r="H483" s="181">
        <v>1</v>
      </c>
    </row>
    <row r="484" spans="1:13" s="150" customFormat="1" ht="27.75">
      <c r="A484" s="76"/>
      <c r="B484" s="76"/>
      <c r="C484" s="115"/>
      <c r="D484" s="74"/>
      <c r="E484" s="104"/>
      <c r="F484" s="76"/>
      <c r="G484" s="170"/>
      <c r="H484" s="170"/>
    </row>
    <row r="485" spans="1:13" s="150" customFormat="1" ht="27.75">
      <c r="A485" s="70">
        <v>222</v>
      </c>
      <c r="B485" s="28" t="s">
        <v>54</v>
      </c>
      <c r="C485" s="2" t="s">
        <v>243</v>
      </c>
      <c r="D485" s="159" t="s">
        <v>727</v>
      </c>
      <c r="E485" s="183">
        <f>22910*1.07</f>
        <v>24513.7</v>
      </c>
      <c r="F485" s="101" t="s">
        <v>691</v>
      </c>
      <c r="G485" s="184" t="s">
        <v>728</v>
      </c>
      <c r="H485" s="181">
        <v>1</v>
      </c>
    </row>
    <row r="486" spans="1:13" s="150" customFormat="1" ht="27.75">
      <c r="A486" s="76"/>
      <c r="B486" s="76"/>
      <c r="C486" s="115"/>
      <c r="D486" s="169" t="s">
        <v>349</v>
      </c>
      <c r="E486" s="104"/>
      <c r="F486" s="76"/>
      <c r="G486" s="170"/>
      <c r="H486" s="170"/>
    </row>
    <row r="487" spans="1:13" s="150" customFormat="1" ht="27.75">
      <c r="A487" s="70">
        <v>223</v>
      </c>
      <c r="B487" s="96" t="s">
        <v>200</v>
      </c>
      <c r="C487" s="4" t="s">
        <v>201</v>
      </c>
      <c r="D487" s="159" t="s">
        <v>729</v>
      </c>
      <c r="E487" s="183">
        <f>93000*1.07</f>
        <v>99510</v>
      </c>
      <c r="F487" s="101" t="s">
        <v>730</v>
      </c>
      <c r="G487" s="171" t="s">
        <v>731</v>
      </c>
      <c r="H487" s="70">
        <v>1</v>
      </c>
    </row>
    <row r="488" spans="1:13" s="150" customFormat="1" ht="27.75">
      <c r="A488" s="76"/>
      <c r="B488" s="80"/>
      <c r="C488" s="111"/>
      <c r="D488" s="159" t="s">
        <v>732</v>
      </c>
      <c r="E488" s="104"/>
      <c r="F488" s="76"/>
      <c r="G488" s="75"/>
      <c r="H488" s="76"/>
    </row>
    <row r="489" spans="1:13" s="150" customFormat="1" ht="27.75">
      <c r="A489" s="70">
        <v>224</v>
      </c>
      <c r="B489" s="190" t="s">
        <v>733</v>
      </c>
      <c r="C489" s="10" t="s">
        <v>734</v>
      </c>
      <c r="D489" s="10" t="s">
        <v>735</v>
      </c>
      <c r="E489" s="183">
        <f>49000*1.07</f>
        <v>52430</v>
      </c>
      <c r="F489" s="101" t="s">
        <v>730</v>
      </c>
      <c r="G489" s="171" t="s">
        <v>736</v>
      </c>
      <c r="H489" s="70">
        <v>1</v>
      </c>
    </row>
    <row r="490" spans="1:13" s="150" customFormat="1" ht="27.75">
      <c r="A490" s="76"/>
      <c r="B490" s="71"/>
      <c r="C490" s="72"/>
      <c r="D490" s="169" t="s">
        <v>19</v>
      </c>
      <c r="E490" s="94"/>
      <c r="F490" s="80"/>
      <c r="G490" s="84"/>
      <c r="H490" s="76"/>
      <c r="K490" s="78"/>
      <c r="M490" s="78"/>
    </row>
    <row r="491" spans="1:13" s="150" customFormat="1" ht="27.75">
      <c r="A491" s="70">
        <v>225</v>
      </c>
      <c r="B491" s="24" t="s">
        <v>420</v>
      </c>
      <c r="C491" s="152" t="s">
        <v>421</v>
      </c>
      <c r="D491" s="10" t="s">
        <v>737</v>
      </c>
      <c r="E491" s="11">
        <f>89000*1.07</f>
        <v>95230</v>
      </c>
      <c r="F491" s="101" t="s">
        <v>730</v>
      </c>
      <c r="G491" s="13" t="s">
        <v>738</v>
      </c>
      <c r="H491" s="70">
        <v>1</v>
      </c>
      <c r="J491" s="78"/>
    </row>
    <row r="492" spans="1:13" s="150" customFormat="1" ht="27.75">
      <c r="A492" s="76"/>
      <c r="B492" s="76"/>
      <c r="C492" s="73"/>
      <c r="D492" s="72"/>
      <c r="E492" s="104"/>
      <c r="F492" s="76"/>
      <c r="G492" s="170"/>
      <c r="H492" s="76"/>
      <c r="J492" s="78"/>
    </row>
    <row r="493" spans="1:13" s="150" customFormat="1" ht="28.5" customHeight="1">
      <c r="A493" s="70">
        <v>226</v>
      </c>
      <c r="B493" s="119" t="s">
        <v>508</v>
      </c>
      <c r="C493" s="4" t="s">
        <v>509</v>
      </c>
      <c r="D493" s="186" t="s">
        <v>739</v>
      </c>
      <c r="E493" s="1">
        <f>89020*1.07</f>
        <v>95251.400000000009</v>
      </c>
      <c r="F493" s="101" t="s">
        <v>730</v>
      </c>
      <c r="G493" s="171" t="s">
        <v>740</v>
      </c>
      <c r="H493" s="70">
        <v>1</v>
      </c>
    </row>
    <row r="494" spans="1:13" s="150" customFormat="1" ht="27.75">
      <c r="A494" s="76"/>
      <c r="B494" s="76"/>
      <c r="C494" s="73"/>
      <c r="D494" s="169" t="s">
        <v>636</v>
      </c>
      <c r="E494" s="104"/>
      <c r="F494" s="76"/>
      <c r="G494" s="75"/>
      <c r="H494" s="76"/>
      <c r="L494" s="78"/>
    </row>
    <row r="495" spans="1:13" s="150" customFormat="1" ht="27.75">
      <c r="A495" s="70">
        <v>227</v>
      </c>
      <c r="B495" s="95" t="s">
        <v>512</v>
      </c>
      <c r="C495" s="10" t="s">
        <v>513</v>
      </c>
      <c r="D495" s="191" t="s">
        <v>741</v>
      </c>
      <c r="E495" s="1">
        <f>83000*1.07</f>
        <v>88810</v>
      </c>
      <c r="F495" s="101" t="s">
        <v>730</v>
      </c>
      <c r="G495" s="171" t="s">
        <v>742</v>
      </c>
      <c r="H495" s="70">
        <v>1</v>
      </c>
      <c r="L495" s="192"/>
    </row>
    <row r="496" spans="1:13" s="150" customFormat="1" ht="27.75">
      <c r="A496" s="76"/>
      <c r="B496" s="71"/>
      <c r="C496" s="121"/>
      <c r="D496" s="193"/>
      <c r="E496" s="104"/>
      <c r="F496" s="76"/>
      <c r="G496" s="75"/>
      <c r="H496" s="76"/>
      <c r="L496" s="194"/>
    </row>
    <row r="497" spans="1:12" s="150" customFormat="1" ht="27.75">
      <c r="A497" s="70">
        <v>228</v>
      </c>
      <c r="B497" s="133" t="s">
        <v>743</v>
      </c>
      <c r="C497" s="159" t="s">
        <v>744</v>
      </c>
      <c r="D497" s="191" t="s">
        <v>745</v>
      </c>
      <c r="E497" s="1">
        <f>72980*1.07</f>
        <v>78088.600000000006</v>
      </c>
      <c r="F497" s="101" t="s">
        <v>730</v>
      </c>
      <c r="G497" s="171" t="s">
        <v>746</v>
      </c>
      <c r="H497" s="70">
        <v>1</v>
      </c>
      <c r="L497" s="141"/>
    </row>
    <row r="498" spans="1:12" s="150" customFormat="1" ht="27.75">
      <c r="A498" s="76"/>
      <c r="B498" s="195"/>
      <c r="C498" s="121"/>
      <c r="D498" s="196" t="s">
        <v>349</v>
      </c>
      <c r="E498" s="104"/>
      <c r="F498" s="76"/>
      <c r="G498" s="75"/>
      <c r="H498" s="76"/>
    </row>
    <row r="499" spans="1:12" s="150" customFormat="1" ht="27.75">
      <c r="A499" s="70">
        <v>229</v>
      </c>
      <c r="B499" s="179" t="s">
        <v>504</v>
      </c>
      <c r="C499" s="159" t="s">
        <v>505</v>
      </c>
      <c r="D499" s="191" t="s">
        <v>747</v>
      </c>
      <c r="E499" s="1">
        <f>35146*1.07</f>
        <v>37606.22</v>
      </c>
      <c r="F499" s="101" t="s">
        <v>730</v>
      </c>
      <c r="G499" s="171" t="s">
        <v>748</v>
      </c>
      <c r="H499" s="70">
        <v>1</v>
      </c>
    </row>
    <row r="500" spans="1:12" s="150" customFormat="1" ht="27.75">
      <c r="A500" s="76"/>
      <c r="B500" s="71"/>
      <c r="C500" s="121"/>
      <c r="D500" s="196" t="s">
        <v>19</v>
      </c>
      <c r="E500" s="104"/>
      <c r="F500" s="76"/>
      <c r="G500" s="75"/>
      <c r="H500" s="76"/>
    </row>
    <row r="501" spans="1:12" s="150" customFormat="1" ht="27.75">
      <c r="A501" s="70">
        <v>230</v>
      </c>
      <c r="B501" s="22" t="s">
        <v>115</v>
      </c>
      <c r="C501" s="159" t="s">
        <v>749</v>
      </c>
      <c r="D501" s="191" t="s">
        <v>750</v>
      </c>
      <c r="E501" s="197">
        <f>9000*1.07</f>
        <v>9630</v>
      </c>
      <c r="F501" s="101" t="s">
        <v>730</v>
      </c>
      <c r="G501" s="171" t="s">
        <v>751</v>
      </c>
      <c r="H501" s="70">
        <v>1</v>
      </c>
      <c r="L501" s="78"/>
    </row>
    <row r="502" spans="1:12" s="150" customFormat="1" ht="27.75">
      <c r="A502" s="76"/>
      <c r="B502" s="71"/>
      <c r="C502" s="121"/>
      <c r="D502" s="196" t="s">
        <v>226</v>
      </c>
      <c r="E502" s="104"/>
      <c r="F502" s="76"/>
      <c r="G502" s="75"/>
      <c r="H502" s="76"/>
    </row>
    <row r="503" spans="1:12" s="150" customFormat="1" ht="27.75">
      <c r="A503" s="70">
        <v>231</v>
      </c>
      <c r="B503" s="185" t="s">
        <v>752</v>
      </c>
      <c r="C503" s="10" t="s">
        <v>753</v>
      </c>
      <c r="D503" s="154" t="s">
        <v>754</v>
      </c>
      <c r="E503" s="11">
        <f>69000*1.07</f>
        <v>73830</v>
      </c>
      <c r="F503" s="101" t="s">
        <v>730</v>
      </c>
      <c r="G503" s="26" t="s">
        <v>755</v>
      </c>
      <c r="H503" s="70">
        <v>1</v>
      </c>
    </row>
    <row r="504" spans="1:12" s="150" customFormat="1" ht="27.75">
      <c r="A504" s="76"/>
      <c r="B504" s="71"/>
      <c r="C504" s="121"/>
      <c r="D504" s="193"/>
      <c r="E504" s="104"/>
      <c r="F504" s="76"/>
      <c r="G504" s="170"/>
      <c r="H504" s="76"/>
    </row>
    <row r="505" spans="1:12" s="78" customFormat="1" ht="27.75">
      <c r="A505" s="84"/>
      <c r="B505" s="84"/>
      <c r="C505" s="128"/>
      <c r="D505" s="128"/>
      <c r="E505" s="94"/>
      <c r="F505" s="84"/>
      <c r="G505" s="84"/>
      <c r="H505" s="84"/>
    </row>
    <row r="506" spans="1:12" ht="27.75" customHeight="1">
      <c r="A506" s="330" t="s">
        <v>561</v>
      </c>
      <c r="B506" s="332" t="s">
        <v>0</v>
      </c>
      <c r="C506" s="329" t="s">
        <v>1</v>
      </c>
      <c r="D506" s="329" t="s">
        <v>2</v>
      </c>
      <c r="E506" s="329" t="s">
        <v>3</v>
      </c>
      <c r="F506" s="329" t="s">
        <v>4</v>
      </c>
      <c r="G506" s="329"/>
      <c r="H506" s="330" t="s">
        <v>5</v>
      </c>
    </row>
    <row r="507" spans="1:12" ht="54" customHeight="1">
      <c r="A507" s="331"/>
      <c r="B507" s="333"/>
      <c r="C507" s="329"/>
      <c r="D507" s="329"/>
      <c r="E507" s="329"/>
      <c r="F507" s="6" t="s">
        <v>6</v>
      </c>
      <c r="G507" s="6" t="s">
        <v>7</v>
      </c>
      <c r="H507" s="331"/>
    </row>
    <row r="508" spans="1:12" s="150" customFormat="1" ht="27.75">
      <c r="A508" s="70">
        <v>232</v>
      </c>
      <c r="B508" s="44" t="s">
        <v>40</v>
      </c>
      <c r="C508" s="10" t="s">
        <v>41</v>
      </c>
      <c r="D508" s="154" t="s">
        <v>756</v>
      </c>
      <c r="E508" s="11">
        <f>91460*1.07</f>
        <v>97862.200000000012</v>
      </c>
      <c r="F508" s="101" t="s">
        <v>730</v>
      </c>
      <c r="G508" s="26" t="s">
        <v>757</v>
      </c>
      <c r="H508" s="70">
        <v>1</v>
      </c>
    </row>
    <row r="509" spans="1:12" s="150" customFormat="1" ht="27.75">
      <c r="A509" s="76"/>
      <c r="B509" s="71"/>
      <c r="C509" s="17"/>
      <c r="D509" s="196" t="s">
        <v>758</v>
      </c>
      <c r="E509" s="104"/>
      <c r="F509" s="76"/>
      <c r="G509" s="170"/>
      <c r="H509" s="76"/>
    </row>
    <row r="510" spans="1:12" s="150" customFormat="1" ht="27.75">
      <c r="A510" s="70">
        <v>233</v>
      </c>
      <c r="B510" s="28" t="s">
        <v>9</v>
      </c>
      <c r="C510" s="10" t="s">
        <v>50</v>
      </c>
      <c r="D510" s="154" t="s">
        <v>759</v>
      </c>
      <c r="E510" s="11">
        <f>1120*1.07</f>
        <v>1198.4000000000001</v>
      </c>
      <c r="F510" s="101" t="s">
        <v>730</v>
      </c>
      <c r="G510" s="13" t="s">
        <v>760</v>
      </c>
      <c r="H510" s="70">
        <v>1</v>
      </c>
    </row>
    <row r="511" spans="1:12" s="150" customFormat="1" ht="27.75">
      <c r="A511" s="76"/>
      <c r="B511" s="71"/>
      <c r="C511" s="121"/>
      <c r="D511" s="193"/>
      <c r="E511" s="104"/>
      <c r="F511" s="76"/>
      <c r="G511" s="170"/>
      <c r="H511" s="76"/>
    </row>
    <row r="512" spans="1:12" s="150" customFormat="1" ht="27.75">
      <c r="A512" s="70">
        <v>234</v>
      </c>
      <c r="B512" s="28" t="s">
        <v>9</v>
      </c>
      <c r="C512" s="10" t="s">
        <v>50</v>
      </c>
      <c r="D512" s="152" t="s">
        <v>761</v>
      </c>
      <c r="E512" s="173">
        <f>85152*1.07</f>
        <v>91112.639999999999</v>
      </c>
      <c r="F512" s="101" t="s">
        <v>730</v>
      </c>
      <c r="G512" s="13" t="s">
        <v>762</v>
      </c>
      <c r="H512" s="70">
        <v>1</v>
      </c>
    </row>
    <row r="513" spans="1:8" s="150" customFormat="1" ht="27.75">
      <c r="A513" s="76"/>
      <c r="B513" s="71"/>
      <c r="C513" s="121"/>
      <c r="D513" s="89" t="s">
        <v>763</v>
      </c>
      <c r="E513" s="109"/>
      <c r="F513" s="76"/>
      <c r="G513" s="170"/>
      <c r="H513" s="76"/>
    </row>
    <row r="514" spans="1:8" s="150" customFormat="1" ht="27.75">
      <c r="A514" s="70">
        <v>235</v>
      </c>
      <c r="B514" s="162" t="s">
        <v>45</v>
      </c>
      <c r="C514" s="159" t="s">
        <v>764</v>
      </c>
      <c r="D514" s="4" t="s">
        <v>765</v>
      </c>
      <c r="E514" s="174">
        <f>26440*1.07</f>
        <v>28290.800000000003</v>
      </c>
      <c r="F514" s="101" t="s">
        <v>730</v>
      </c>
      <c r="G514" s="184" t="s">
        <v>766</v>
      </c>
      <c r="H514" s="70">
        <v>1</v>
      </c>
    </row>
    <row r="515" spans="1:8" s="150" customFormat="1" ht="27.75">
      <c r="A515" s="76"/>
      <c r="B515" s="71"/>
      <c r="C515" s="121"/>
      <c r="D515" s="89" t="s">
        <v>19</v>
      </c>
      <c r="E515" s="109"/>
      <c r="F515" s="76"/>
      <c r="G515" s="170"/>
      <c r="H515" s="76"/>
    </row>
    <row r="516" spans="1:8" s="150" customFormat="1" ht="27.75">
      <c r="A516" s="70">
        <v>236</v>
      </c>
      <c r="B516" s="36" t="s">
        <v>14</v>
      </c>
      <c r="C516" s="10" t="s">
        <v>15</v>
      </c>
      <c r="D516" s="152" t="s">
        <v>767</v>
      </c>
      <c r="E516" s="173">
        <f>10725*1.07</f>
        <v>11475.75</v>
      </c>
      <c r="F516" s="101" t="s">
        <v>730</v>
      </c>
      <c r="G516" s="13" t="s">
        <v>768</v>
      </c>
      <c r="H516" s="70">
        <v>1</v>
      </c>
    </row>
    <row r="517" spans="1:8" s="150" customFormat="1" ht="27.75">
      <c r="A517" s="76"/>
      <c r="B517" s="71"/>
      <c r="C517" s="121"/>
      <c r="D517" s="89" t="s">
        <v>19</v>
      </c>
      <c r="E517" s="109"/>
      <c r="F517" s="76"/>
      <c r="G517" s="170"/>
      <c r="H517" s="76"/>
    </row>
    <row r="518" spans="1:8" s="150" customFormat="1" ht="27.75">
      <c r="A518" s="70">
        <v>237</v>
      </c>
      <c r="B518" s="198" t="s">
        <v>45</v>
      </c>
      <c r="C518" s="10" t="s">
        <v>769</v>
      </c>
      <c r="D518" s="4" t="s">
        <v>770</v>
      </c>
      <c r="E518" s="174">
        <f>63000*1.07</f>
        <v>67410</v>
      </c>
      <c r="F518" s="101" t="s">
        <v>730</v>
      </c>
      <c r="G518" s="184" t="s">
        <v>771</v>
      </c>
      <c r="H518" s="70">
        <v>1</v>
      </c>
    </row>
    <row r="519" spans="1:8" s="150" customFormat="1" ht="27.75">
      <c r="A519" s="76"/>
      <c r="B519" s="71"/>
      <c r="C519" s="121"/>
      <c r="D519" s="124"/>
      <c r="E519" s="109"/>
      <c r="F519" s="76"/>
      <c r="G519" s="170"/>
      <c r="H519" s="76"/>
    </row>
    <row r="520" spans="1:8" s="150" customFormat="1" ht="27.75">
      <c r="A520" s="70">
        <v>238</v>
      </c>
      <c r="B520" s="28" t="s">
        <v>9</v>
      </c>
      <c r="C520" s="152" t="s">
        <v>772</v>
      </c>
      <c r="D520" s="10" t="s">
        <v>773</v>
      </c>
      <c r="E520" s="11">
        <f>1050*1.07</f>
        <v>1123.5</v>
      </c>
      <c r="F520" s="101" t="s">
        <v>774</v>
      </c>
      <c r="G520" s="13" t="s">
        <v>775</v>
      </c>
      <c r="H520" s="70">
        <v>1</v>
      </c>
    </row>
    <row r="521" spans="1:8" s="150" customFormat="1" ht="27.75">
      <c r="A521" s="76"/>
      <c r="B521" s="76"/>
      <c r="C521" s="124"/>
      <c r="D521" s="121"/>
      <c r="E521" s="104"/>
      <c r="F521" s="76"/>
      <c r="G521" s="170"/>
      <c r="H521" s="76"/>
    </row>
    <row r="522" spans="1:8" s="150" customFormat="1" ht="27.75">
      <c r="A522" s="70">
        <v>239</v>
      </c>
      <c r="B522" s="110" t="s">
        <v>124</v>
      </c>
      <c r="C522" s="10" t="s">
        <v>776</v>
      </c>
      <c r="D522" s="191" t="s">
        <v>777</v>
      </c>
      <c r="E522" s="1">
        <f>91800*1.07</f>
        <v>98226</v>
      </c>
      <c r="F522" s="116" t="s">
        <v>774</v>
      </c>
      <c r="G522" s="171" t="s">
        <v>778</v>
      </c>
      <c r="H522" s="80">
        <v>1</v>
      </c>
    </row>
    <row r="523" spans="1:8" s="150" customFormat="1" ht="27.75">
      <c r="A523" s="76"/>
      <c r="B523" s="71"/>
      <c r="C523" s="121"/>
      <c r="D523" s="193"/>
      <c r="E523" s="104"/>
      <c r="F523" s="76"/>
      <c r="G523" s="75"/>
      <c r="H523" s="80"/>
    </row>
    <row r="524" spans="1:8" s="150" customFormat="1" ht="27.75">
      <c r="A524" s="70">
        <v>240</v>
      </c>
      <c r="B524" s="24" t="s">
        <v>698</v>
      </c>
      <c r="C524" s="10" t="s">
        <v>779</v>
      </c>
      <c r="D524" s="154" t="s">
        <v>780</v>
      </c>
      <c r="E524" s="11">
        <f>48000*1.07</f>
        <v>51360</v>
      </c>
      <c r="F524" s="101" t="s">
        <v>774</v>
      </c>
      <c r="G524" s="13" t="s">
        <v>781</v>
      </c>
      <c r="H524" s="70">
        <v>1</v>
      </c>
    </row>
    <row r="525" spans="1:8" s="150" customFormat="1" ht="27.75">
      <c r="A525" s="76"/>
      <c r="B525" s="71"/>
      <c r="C525" s="121"/>
      <c r="D525" s="193"/>
      <c r="E525" s="104"/>
      <c r="F525" s="76"/>
      <c r="G525" s="170"/>
      <c r="H525" s="76"/>
    </row>
    <row r="526" spans="1:8" s="150" customFormat="1" ht="27.75">
      <c r="A526" s="70">
        <v>241</v>
      </c>
      <c r="B526" s="24" t="s">
        <v>141</v>
      </c>
      <c r="C526" s="159" t="s">
        <v>142</v>
      </c>
      <c r="D526" s="191" t="s">
        <v>782</v>
      </c>
      <c r="E526" s="1">
        <f>2325*1.07</f>
        <v>2487.75</v>
      </c>
      <c r="F526" s="116" t="s">
        <v>774</v>
      </c>
      <c r="G526" s="171" t="s">
        <v>783</v>
      </c>
      <c r="H526" s="70">
        <v>1</v>
      </c>
    </row>
    <row r="527" spans="1:8" s="150" customFormat="1" ht="27.75">
      <c r="A527" s="76"/>
      <c r="B527" s="71"/>
      <c r="C527" s="121"/>
      <c r="D527" s="196" t="s">
        <v>138</v>
      </c>
      <c r="E527" s="104"/>
      <c r="F527" s="76"/>
      <c r="G527" s="75"/>
      <c r="H527" s="76"/>
    </row>
    <row r="528" spans="1:8" s="150" customFormat="1" ht="27.75">
      <c r="A528" s="70">
        <v>242</v>
      </c>
      <c r="B528" s="96" t="s">
        <v>200</v>
      </c>
      <c r="C528" s="125" t="s">
        <v>201</v>
      </c>
      <c r="D528" s="199" t="s">
        <v>784</v>
      </c>
      <c r="E528" s="1">
        <f>11900*1.07</f>
        <v>12733</v>
      </c>
      <c r="F528" s="101" t="s">
        <v>774</v>
      </c>
      <c r="G528" s="171" t="s">
        <v>785</v>
      </c>
      <c r="H528" s="80">
        <v>1</v>
      </c>
    </row>
    <row r="529" spans="1:8" s="150" customFormat="1" ht="27.75">
      <c r="A529" s="76"/>
      <c r="B529" s="81"/>
      <c r="C529" s="125"/>
      <c r="D529" s="200" t="s">
        <v>786</v>
      </c>
      <c r="E529" s="94"/>
      <c r="F529" s="80"/>
      <c r="G529" s="84"/>
      <c r="H529" s="80"/>
    </row>
    <row r="530" spans="1:8" s="150" customFormat="1" ht="27.75">
      <c r="A530" s="70">
        <v>243</v>
      </c>
      <c r="B530" s="44" t="s">
        <v>162</v>
      </c>
      <c r="C530" s="10" t="s">
        <v>163</v>
      </c>
      <c r="D530" s="154" t="s">
        <v>787</v>
      </c>
      <c r="E530" s="11">
        <f>8800*1.07</f>
        <v>9416</v>
      </c>
      <c r="F530" s="101" t="s">
        <v>774</v>
      </c>
      <c r="G530" s="13" t="s">
        <v>788</v>
      </c>
      <c r="H530" s="70">
        <v>1</v>
      </c>
    </row>
    <row r="531" spans="1:8" s="150" customFormat="1" ht="27.75">
      <c r="A531" s="76"/>
      <c r="B531" s="71"/>
      <c r="C531" s="121"/>
      <c r="D531" s="193"/>
      <c r="E531" s="104"/>
      <c r="F531" s="76"/>
      <c r="G531" s="170"/>
      <c r="H531" s="76"/>
    </row>
    <row r="532" spans="1:8" s="150" customFormat="1" ht="27.75">
      <c r="A532" s="70">
        <v>244</v>
      </c>
      <c r="B532" s="95" t="s">
        <v>274</v>
      </c>
      <c r="C532" s="159" t="s">
        <v>789</v>
      </c>
      <c r="D532" s="191" t="s">
        <v>790</v>
      </c>
      <c r="E532" s="1">
        <f>25500*1.07</f>
        <v>27285</v>
      </c>
      <c r="F532" s="101" t="s">
        <v>774</v>
      </c>
      <c r="G532" s="171" t="s">
        <v>791</v>
      </c>
      <c r="H532" s="70">
        <v>1</v>
      </c>
    </row>
    <row r="533" spans="1:8" s="150" customFormat="1" ht="27.75">
      <c r="A533" s="76"/>
      <c r="B533" s="71"/>
      <c r="C533" s="121"/>
      <c r="D533" s="193"/>
      <c r="E533" s="104"/>
      <c r="F533" s="76"/>
      <c r="G533" s="75"/>
      <c r="H533" s="76"/>
    </row>
    <row r="534" spans="1:8" s="150" customFormat="1" ht="27.75">
      <c r="A534" s="70">
        <v>245</v>
      </c>
      <c r="B534" s="96" t="s">
        <v>200</v>
      </c>
      <c r="C534" s="159" t="s">
        <v>201</v>
      </c>
      <c r="D534" s="191" t="s">
        <v>792</v>
      </c>
      <c r="E534" s="1">
        <f>73500*1.07</f>
        <v>78645</v>
      </c>
      <c r="F534" s="101" t="s">
        <v>774</v>
      </c>
      <c r="G534" s="171" t="s">
        <v>793</v>
      </c>
      <c r="H534" s="80">
        <v>1</v>
      </c>
    </row>
    <row r="535" spans="1:8" s="150" customFormat="1" ht="27.75">
      <c r="A535" s="76"/>
      <c r="B535" s="71"/>
      <c r="C535" s="121"/>
      <c r="D535" s="193" t="s">
        <v>794</v>
      </c>
      <c r="E535" s="104"/>
      <c r="F535" s="76"/>
      <c r="G535" s="75"/>
      <c r="H535" s="80"/>
    </row>
    <row r="536" spans="1:8" s="150" customFormat="1" ht="27.75">
      <c r="A536" s="70">
        <v>246</v>
      </c>
      <c r="B536" s="24" t="s">
        <v>698</v>
      </c>
      <c r="C536" s="180" t="s">
        <v>795</v>
      </c>
      <c r="D536" s="10" t="s">
        <v>796</v>
      </c>
      <c r="E536" s="11">
        <f>30000*1.07</f>
        <v>32100.000000000004</v>
      </c>
      <c r="F536" s="101" t="s">
        <v>797</v>
      </c>
      <c r="G536" s="26" t="s">
        <v>798</v>
      </c>
      <c r="H536" s="70">
        <v>1</v>
      </c>
    </row>
    <row r="537" spans="1:8" s="150" customFormat="1" ht="27.75">
      <c r="A537" s="76"/>
      <c r="B537" s="75"/>
      <c r="C537" s="201"/>
      <c r="D537" s="121"/>
      <c r="E537" s="104"/>
      <c r="F537" s="76"/>
      <c r="G537" s="75"/>
      <c r="H537" s="76"/>
    </row>
    <row r="538" spans="1:8" ht="27.75" customHeight="1">
      <c r="A538" s="330" t="s">
        <v>561</v>
      </c>
      <c r="B538" s="332" t="s">
        <v>0</v>
      </c>
      <c r="C538" s="329" t="s">
        <v>1</v>
      </c>
      <c r="D538" s="329" t="s">
        <v>2</v>
      </c>
      <c r="E538" s="329" t="s">
        <v>3</v>
      </c>
      <c r="F538" s="329" t="s">
        <v>4</v>
      </c>
      <c r="G538" s="329"/>
      <c r="H538" s="330" t="s">
        <v>5</v>
      </c>
    </row>
    <row r="539" spans="1:8" ht="54" customHeight="1">
      <c r="A539" s="331"/>
      <c r="B539" s="333"/>
      <c r="C539" s="329"/>
      <c r="D539" s="329"/>
      <c r="E539" s="329"/>
      <c r="F539" s="6" t="s">
        <v>6</v>
      </c>
      <c r="G539" s="6" t="s">
        <v>7</v>
      </c>
      <c r="H539" s="331"/>
    </row>
    <row r="540" spans="1:8" s="150" customFormat="1" ht="27.75">
      <c r="A540" s="70">
        <v>247</v>
      </c>
      <c r="B540" s="110" t="s">
        <v>124</v>
      </c>
      <c r="C540" s="182" t="s">
        <v>290</v>
      </c>
      <c r="D540" s="159" t="s">
        <v>799</v>
      </c>
      <c r="E540" s="1">
        <f>92700*1.07</f>
        <v>99189</v>
      </c>
      <c r="F540" s="101" t="s">
        <v>797</v>
      </c>
      <c r="G540" s="171" t="s">
        <v>800</v>
      </c>
      <c r="H540" s="70">
        <v>1</v>
      </c>
    </row>
    <row r="541" spans="1:8" s="150" customFormat="1" ht="27.75">
      <c r="A541" s="76"/>
      <c r="B541" s="71"/>
      <c r="C541" s="201"/>
      <c r="D541" s="72"/>
      <c r="E541" s="104"/>
      <c r="F541" s="76"/>
      <c r="G541" s="75"/>
      <c r="H541" s="76"/>
    </row>
    <row r="542" spans="1:8" s="150" customFormat="1" ht="27.75">
      <c r="A542" s="70">
        <v>248</v>
      </c>
      <c r="B542" s="162" t="s">
        <v>801</v>
      </c>
      <c r="C542" s="10" t="s">
        <v>802</v>
      </c>
      <c r="D542" s="159" t="s">
        <v>803</v>
      </c>
      <c r="E542" s="1">
        <f>36400*1.07</f>
        <v>38948</v>
      </c>
      <c r="F542" s="101" t="s">
        <v>797</v>
      </c>
      <c r="G542" s="171" t="s">
        <v>804</v>
      </c>
      <c r="H542" s="70">
        <v>1</v>
      </c>
    </row>
    <row r="543" spans="1:8" s="150" customFormat="1" ht="27.75">
      <c r="A543" s="76"/>
      <c r="B543" s="71"/>
      <c r="C543" s="121"/>
      <c r="D543" s="169" t="s">
        <v>138</v>
      </c>
      <c r="E543" s="104"/>
      <c r="F543" s="76"/>
      <c r="G543" s="75"/>
      <c r="H543" s="76"/>
    </row>
    <row r="544" spans="1:8" s="150" customFormat="1" ht="27.75">
      <c r="A544" s="70">
        <v>249</v>
      </c>
      <c r="B544" s="185" t="s">
        <v>805</v>
      </c>
      <c r="C544" s="10" t="s">
        <v>806</v>
      </c>
      <c r="D544" s="10" t="s">
        <v>807</v>
      </c>
      <c r="E544" s="11">
        <f>93000*1.07</f>
        <v>99510</v>
      </c>
      <c r="F544" s="101" t="s">
        <v>808</v>
      </c>
      <c r="G544" s="26" t="s">
        <v>809</v>
      </c>
      <c r="H544" s="70">
        <v>1</v>
      </c>
    </row>
    <row r="545" spans="1:8" s="150" customFormat="1" ht="27.75">
      <c r="A545" s="76"/>
      <c r="B545" s="71"/>
      <c r="C545" s="121"/>
      <c r="D545" s="121"/>
      <c r="E545" s="104"/>
      <c r="F545" s="76"/>
      <c r="G545" s="75"/>
      <c r="H545" s="76"/>
    </row>
    <row r="546" spans="1:8" s="150" customFormat="1" ht="27.75">
      <c r="A546" s="70">
        <v>250</v>
      </c>
      <c r="B546" s="24" t="s">
        <v>141</v>
      </c>
      <c r="C546" s="159" t="s">
        <v>142</v>
      </c>
      <c r="D546" s="159" t="s">
        <v>810</v>
      </c>
      <c r="E546" s="1">
        <f>80350*1.07</f>
        <v>85974.5</v>
      </c>
      <c r="F546" s="101" t="s">
        <v>808</v>
      </c>
      <c r="G546" s="171" t="s">
        <v>811</v>
      </c>
      <c r="H546" s="80">
        <v>1</v>
      </c>
    </row>
    <row r="547" spans="1:8" s="150" customFormat="1" ht="27.75">
      <c r="A547" s="76"/>
      <c r="B547" s="81"/>
      <c r="C547" s="125"/>
      <c r="D547" s="167" t="s">
        <v>812</v>
      </c>
      <c r="E547" s="94"/>
      <c r="F547" s="80"/>
      <c r="G547" s="84"/>
      <c r="H547" s="80"/>
    </row>
    <row r="548" spans="1:8" s="150" customFormat="1" ht="27.75">
      <c r="A548" s="70">
        <v>251</v>
      </c>
      <c r="B548" s="119" t="s">
        <v>124</v>
      </c>
      <c r="C548" s="10" t="s">
        <v>290</v>
      </c>
      <c r="D548" s="10" t="s">
        <v>813</v>
      </c>
      <c r="E548" s="11">
        <f>64000*1.07</f>
        <v>68480</v>
      </c>
      <c r="F548" s="101" t="s">
        <v>808</v>
      </c>
      <c r="G548" s="13" t="s">
        <v>814</v>
      </c>
      <c r="H548" s="70">
        <v>1</v>
      </c>
    </row>
    <row r="549" spans="1:8" s="150" customFormat="1" ht="27.75">
      <c r="A549" s="76"/>
      <c r="B549" s="71"/>
      <c r="C549" s="121"/>
      <c r="D549" s="169" t="s">
        <v>138</v>
      </c>
      <c r="E549" s="104"/>
      <c r="F549" s="76"/>
      <c r="G549" s="170"/>
      <c r="H549" s="76"/>
    </row>
    <row r="550" spans="1:8" s="150" customFormat="1" ht="27.75">
      <c r="A550" s="70">
        <v>252</v>
      </c>
      <c r="B550" s="62" t="s">
        <v>84</v>
      </c>
      <c r="C550" s="159" t="s">
        <v>85</v>
      </c>
      <c r="D550" s="159" t="s">
        <v>815</v>
      </c>
      <c r="E550" s="1">
        <f>89800*1.07</f>
        <v>96086</v>
      </c>
      <c r="F550" s="101" t="s">
        <v>808</v>
      </c>
      <c r="G550" s="171" t="s">
        <v>816</v>
      </c>
      <c r="H550" s="70">
        <v>1</v>
      </c>
    </row>
    <row r="551" spans="1:8" s="150" customFormat="1" ht="27.75">
      <c r="A551" s="76"/>
      <c r="B551" s="71"/>
      <c r="C551" s="121"/>
      <c r="D551" s="169" t="s">
        <v>138</v>
      </c>
      <c r="E551" s="104"/>
      <c r="F551" s="76"/>
      <c r="G551" s="75"/>
      <c r="H551" s="76"/>
    </row>
    <row r="552" spans="1:8" s="150" customFormat="1" ht="27.75">
      <c r="A552" s="70">
        <v>253</v>
      </c>
      <c r="B552" s="110" t="s">
        <v>124</v>
      </c>
      <c r="C552" s="159" t="s">
        <v>290</v>
      </c>
      <c r="D552" s="159" t="s">
        <v>817</v>
      </c>
      <c r="E552" s="1">
        <f>92800*1.07</f>
        <v>99296</v>
      </c>
      <c r="F552" s="101" t="s">
        <v>818</v>
      </c>
      <c r="G552" s="171" t="s">
        <v>819</v>
      </c>
      <c r="H552" s="70">
        <v>1</v>
      </c>
    </row>
    <row r="553" spans="1:8" s="150" customFormat="1" ht="27.75">
      <c r="A553" s="76"/>
      <c r="B553" s="71"/>
      <c r="C553" s="121"/>
      <c r="D553" s="121"/>
      <c r="E553" s="104"/>
      <c r="F553" s="76"/>
      <c r="G553" s="75"/>
      <c r="H553" s="76"/>
    </row>
    <row r="554" spans="1:8" s="150" customFormat="1" ht="27.75">
      <c r="A554" s="70">
        <v>254</v>
      </c>
      <c r="B554" s="22" t="s">
        <v>104</v>
      </c>
      <c r="C554" s="10" t="s">
        <v>820</v>
      </c>
      <c r="D554" s="10" t="s">
        <v>821</v>
      </c>
      <c r="E554" s="11">
        <f>90000*1.07</f>
        <v>96300</v>
      </c>
      <c r="F554" s="101" t="s">
        <v>818</v>
      </c>
      <c r="G554" s="26" t="s">
        <v>822</v>
      </c>
      <c r="H554" s="70">
        <v>1</v>
      </c>
    </row>
    <row r="555" spans="1:8" s="150" customFormat="1" ht="27.75">
      <c r="A555" s="76"/>
      <c r="B555" s="71"/>
      <c r="C555" s="121"/>
      <c r="D555" s="72"/>
      <c r="E555" s="104"/>
      <c r="F555" s="76"/>
      <c r="G555" s="75"/>
      <c r="H555" s="76"/>
    </row>
    <row r="556" spans="1:8" s="150" customFormat="1" ht="27.75">
      <c r="A556" s="70">
        <v>255</v>
      </c>
      <c r="B556" s="185" t="s">
        <v>752</v>
      </c>
      <c r="C556" s="10" t="s">
        <v>753</v>
      </c>
      <c r="D556" s="10" t="s">
        <v>823</v>
      </c>
      <c r="E556" s="11">
        <f>52000*1.07</f>
        <v>55640</v>
      </c>
      <c r="F556" s="101" t="s">
        <v>818</v>
      </c>
      <c r="G556" s="26" t="s">
        <v>824</v>
      </c>
      <c r="H556" s="70">
        <v>1</v>
      </c>
    </row>
    <row r="557" spans="1:8" s="150" customFormat="1" ht="27.75">
      <c r="A557" s="76"/>
      <c r="B557" s="71"/>
      <c r="C557" s="72"/>
      <c r="D557" s="72"/>
      <c r="E557" s="104"/>
      <c r="F557" s="76"/>
      <c r="G557" s="75"/>
      <c r="H557" s="76"/>
    </row>
    <row r="558" spans="1:8" s="150" customFormat="1" ht="27.75">
      <c r="A558" s="70">
        <v>256</v>
      </c>
      <c r="B558" s="162" t="s">
        <v>397</v>
      </c>
      <c r="C558" s="159" t="s">
        <v>398</v>
      </c>
      <c r="D558" s="159" t="s">
        <v>825</v>
      </c>
      <c r="E558" s="1">
        <f>10620*1.07</f>
        <v>11363.400000000001</v>
      </c>
      <c r="F558" s="101" t="s">
        <v>818</v>
      </c>
      <c r="G558" s="171" t="s">
        <v>826</v>
      </c>
      <c r="H558" s="70">
        <v>1</v>
      </c>
    </row>
    <row r="559" spans="1:8" s="150" customFormat="1" ht="27.75">
      <c r="A559" s="76"/>
      <c r="B559" s="81"/>
      <c r="C559" s="77"/>
      <c r="D559" s="77"/>
      <c r="E559" s="94"/>
      <c r="F559" s="80"/>
      <c r="G559" s="84"/>
      <c r="H559" s="76"/>
    </row>
    <row r="560" spans="1:8" s="150" customFormat="1" ht="27.75">
      <c r="A560" s="70">
        <v>257</v>
      </c>
      <c r="B560" s="185" t="s">
        <v>397</v>
      </c>
      <c r="C560" s="202" t="s">
        <v>827</v>
      </c>
      <c r="D560" s="172" t="s">
        <v>877</v>
      </c>
      <c r="E560" s="11">
        <f>21130*1.07</f>
        <v>22609.100000000002</v>
      </c>
      <c r="F560" s="101" t="s">
        <v>818</v>
      </c>
      <c r="G560" s="13" t="s">
        <v>828</v>
      </c>
      <c r="H560" s="80">
        <v>1</v>
      </c>
    </row>
    <row r="561" spans="1:8" s="150" customFormat="1" ht="27.75">
      <c r="A561" s="76"/>
      <c r="B561" s="71"/>
      <c r="C561" s="17" t="s">
        <v>829</v>
      </c>
      <c r="D561" s="121" t="s">
        <v>878</v>
      </c>
      <c r="E561" s="104"/>
      <c r="F561" s="76"/>
      <c r="G561" s="170"/>
      <c r="H561" s="80"/>
    </row>
    <row r="562" spans="1:8" s="150" customFormat="1" ht="27.75">
      <c r="A562" s="70">
        <v>258</v>
      </c>
      <c r="B562" s="70" t="s">
        <v>183</v>
      </c>
      <c r="C562" s="159" t="s">
        <v>184</v>
      </c>
      <c r="D562" s="186" t="s">
        <v>830</v>
      </c>
      <c r="E562" s="1">
        <f>23580*1.07</f>
        <v>25230.600000000002</v>
      </c>
      <c r="F562" s="116" t="s">
        <v>818</v>
      </c>
      <c r="G562" s="171" t="s">
        <v>831</v>
      </c>
      <c r="H562" s="70">
        <v>1</v>
      </c>
    </row>
    <row r="563" spans="1:8" s="150" customFormat="1" ht="27.75">
      <c r="A563" s="76"/>
      <c r="B563" s="81"/>
      <c r="C563" s="77"/>
      <c r="D563" s="77"/>
      <c r="E563" s="94"/>
      <c r="F563" s="80"/>
      <c r="G563" s="84"/>
      <c r="H563" s="76"/>
    </row>
    <row r="564" spans="1:8" s="150" customFormat="1" ht="27.75">
      <c r="A564" s="70">
        <v>259</v>
      </c>
      <c r="B564" s="26" t="s">
        <v>606</v>
      </c>
      <c r="C564" s="10" t="s">
        <v>369</v>
      </c>
      <c r="D564" s="172" t="s">
        <v>832</v>
      </c>
      <c r="E564" s="11">
        <f>27000*1.07</f>
        <v>28890</v>
      </c>
      <c r="F564" s="101" t="s">
        <v>818</v>
      </c>
      <c r="G564" s="13" t="s">
        <v>833</v>
      </c>
      <c r="H564" s="70">
        <v>1</v>
      </c>
    </row>
    <row r="565" spans="1:8" s="150" customFormat="1" ht="27.75">
      <c r="A565" s="76"/>
      <c r="B565" s="71"/>
      <c r="C565" s="72"/>
      <c r="D565" s="72"/>
      <c r="E565" s="104"/>
      <c r="F565" s="76"/>
      <c r="G565" s="170"/>
      <c r="H565" s="76"/>
    </row>
    <row r="566" spans="1:8" s="150" customFormat="1" ht="27.75">
      <c r="A566" s="70">
        <v>260</v>
      </c>
      <c r="B566" s="37" t="s">
        <v>27</v>
      </c>
      <c r="C566" s="159" t="s">
        <v>80</v>
      </c>
      <c r="D566" s="186" t="s">
        <v>879</v>
      </c>
      <c r="E566" s="1">
        <f>47250*1.07</f>
        <v>50557.5</v>
      </c>
      <c r="F566" s="101" t="s">
        <v>818</v>
      </c>
      <c r="G566" s="171" t="s">
        <v>834</v>
      </c>
      <c r="H566" s="70">
        <v>1</v>
      </c>
    </row>
    <row r="567" spans="1:8" s="150" customFormat="1" ht="27.75">
      <c r="A567" s="76"/>
      <c r="B567" s="71"/>
      <c r="C567" s="72"/>
      <c r="D567" s="121" t="s">
        <v>880</v>
      </c>
      <c r="E567" s="104"/>
      <c r="F567" s="76"/>
      <c r="G567" s="75"/>
      <c r="H567" s="76"/>
    </row>
    <row r="568" spans="1:8" s="150" customFormat="1" ht="27.75">
      <c r="A568" s="70">
        <v>261</v>
      </c>
      <c r="B568" s="37" t="s">
        <v>27</v>
      </c>
      <c r="C568" s="10" t="s">
        <v>28</v>
      </c>
      <c r="D568" s="10" t="s">
        <v>881</v>
      </c>
      <c r="E568" s="11">
        <f>14500*1.07</f>
        <v>15515</v>
      </c>
      <c r="F568" s="101" t="s">
        <v>818</v>
      </c>
      <c r="G568" s="26" t="s">
        <v>835</v>
      </c>
      <c r="H568" s="70">
        <v>1</v>
      </c>
    </row>
    <row r="569" spans="1:8" s="150" customFormat="1" ht="27.75">
      <c r="A569" s="76"/>
      <c r="B569" s="71"/>
      <c r="C569" s="72"/>
      <c r="D569" s="121" t="s">
        <v>882</v>
      </c>
      <c r="E569" s="104"/>
      <c r="F569" s="76"/>
      <c r="G569" s="75"/>
      <c r="H569" s="76"/>
    </row>
    <row r="570" spans="1:8" ht="27.75" customHeight="1">
      <c r="A570" s="330" t="s">
        <v>561</v>
      </c>
      <c r="B570" s="332" t="s">
        <v>0</v>
      </c>
      <c r="C570" s="329" t="s">
        <v>1</v>
      </c>
      <c r="D570" s="329" t="s">
        <v>2</v>
      </c>
      <c r="E570" s="329" t="s">
        <v>3</v>
      </c>
      <c r="F570" s="329" t="s">
        <v>4</v>
      </c>
      <c r="G570" s="329"/>
      <c r="H570" s="330" t="s">
        <v>5</v>
      </c>
    </row>
    <row r="571" spans="1:8" ht="54" customHeight="1">
      <c r="A571" s="331"/>
      <c r="B571" s="333"/>
      <c r="C571" s="329"/>
      <c r="D571" s="329"/>
      <c r="E571" s="329"/>
      <c r="F571" s="6" t="s">
        <v>6</v>
      </c>
      <c r="G571" s="6" t="s">
        <v>7</v>
      </c>
      <c r="H571" s="331"/>
    </row>
    <row r="572" spans="1:8" s="150" customFormat="1" ht="27.75">
      <c r="A572" s="70">
        <v>262</v>
      </c>
      <c r="B572" s="105" t="s">
        <v>100</v>
      </c>
      <c r="C572" s="159" t="s">
        <v>101</v>
      </c>
      <c r="D572" s="159" t="s">
        <v>836</v>
      </c>
      <c r="E572" s="1">
        <f>91000*1.07</f>
        <v>97370</v>
      </c>
      <c r="F572" s="101" t="s">
        <v>837</v>
      </c>
      <c r="G572" s="171" t="s">
        <v>838</v>
      </c>
      <c r="H572" s="70">
        <v>1</v>
      </c>
    </row>
    <row r="573" spans="1:8" s="150" customFormat="1" ht="27.75">
      <c r="A573" s="76"/>
      <c r="B573" s="71"/>
      <c r="C573" s="72"/>
      <c r="D573" s="121"/>
      <c r="E573" s="104"/>
      <c r="F573" s="76"/>
      <c r="G573" s="75"/>
      <c r="H573" s="76"/>
    </row>
    <row r="574" spans="1:8" s="150" customFormat="1" ht="27.75">
      <c r="A574" s="70">
        <v>263</v>
      </c>
      <c r="B574" s="110" t="s">
        <v>124</v>
      </c>
      <c r="C574" s="159" t="s">
        <v>290</v>
      </c>
      <c r="D574" s="159" t="s">
        <v>839</v>
      </c>
      <c r="E574" s="1">
        <f>78000*1.07</f>
        <v>83460</v>
      </c>
      <c r="F574" s="101" t="s">
        <v>837</v>
      </c>
      <c r="G574" s="171" t="s">
        <v>840</v>
      </c>
      <c r="H574" s="70">
        <v>1</v>
      </c>
    </row>
    <row r="575" spans="1:8" s="150" customFormat="1" ht="27.75">
      <c r="A575" s="76"/>
      <c r="B575" s="71"/>
      <c r="C575" s="72"/>
      <c r="D575" s="121"/>
      <c r="E575" s="104"/>
      <c r="F575" s="76"/>
      <c r="G575" s="75"/>
      <c r="H575" s="76"/>
    </row>
    <row r="576" spans="1:8" s="150" customFormat="1" ht="27.75">
      <c r="A576" s="70">
        <v>264</v>
      </c>
      <c r="B576" s="162" t="s">
        <v>841</v>
      </c>
      <c r="C576" s="159" t="s">
        <v>874</v>
      </c>
      <c r="D576" s="159" t="s">
        <v>884</v>
      </c>
      <c r="E576" s="1">
        <f>4300*1.07</f>
        <v>4601</v>
      </c>
      <c r="F576" s="101" t="s">
        <v>842</v>
      </c>
      <c r="G576" s="171" t="s">
        <v>843</v>
      </c>
      <c r="H576" s="70">
        <v>1</v>
      </c>
    </row>
    <row r="577" spans="1:11" s="150" customFormat="1" ht="27.75">
      <c r="A577" s="76"/>
      <c r="B577" s="81"/>
      <c r="C577" s="203" t="s">
        <v>875</v>
      </c>
      <c r="D577" s="83" t="s">
        <v>885</v>
      </c>
      <c r="E577" s="94"/>
      <c r="F577" s="80"/>
      <c r="G577" s="84"/>
      <c r="H577" s="76"/>
    </row>
    <row r="578" spans="1:11" s="150" customFormat="1" ht="27.75">
      <c r="A578" s="70">
        <v>265</v>
      </c>
      <c r="B578" s="24" t="s">
        <v>141</v>
      </c>
      <c r="C578" s="10" t="s">
        <v>142</v>
      </c>
      <c r="D578" s="10" t="s">
        <v>844</v>
      </c>
      <c r="E578" s="11">
        <f>9400*1.07</f>
        <v>10058</v>
      </c>
      <c r="F578" s="101" t="s">
        <v>845</v>
      </c>
      <c r="G578" s="134" t="s">
        <v>846</v>
      </c>
      <c r="H578" s="70">
        <v>1</v>
      </c>
    </row>
    <row r="579" spans="1:11" s="150" customFormat="1" ht="27.75">
      <c r="A579" s="76"/>
      <c r="B579" s="71"/>
      <c r="C579" s="72"/>
      <c r="D579" s="169" t="s">
        <v>226</v>
      </c>
      <c r="E579" s="104"/>
      <c r="F579" s="76"/>
      <c r="G579" s="76"/>
      <c r="H579" s="76"/>
    </row>
    <row r="580" spans="1:11" s="150" customFormat="1" ht="27.75">
      <c r="A580" s="70">
        <v>266</v>
      </c>
      <c r="B580" s="24" t="s">
        <v>141</v>
      </c>
      <c r="C580" s="10" t="s">
        <v>142</v>
      </c>
      <c r="D580" s="10" t="s">
        <v>847</v>
      </c>
      <c r="E580" s="11">
        <f>3870*1.07</f>
        <v>4140.9000000000005</v>
      </c>
      <c r="F580" s="101" t="s">
        <v>845</v>
      </c>
      <c r="G580" s="26" t="s">
        <v>848</v>
      </c>
      <c r="H580" s="70">
        <v>1</v>
      </c>
    </row>
    <row r="581" spans="1:11" s="150" customFormat="1" ht="27.75">
      <c r="A581" s="76"/>
      <c r="B581" s="71"/>
      <c r="C581" s="72"/>
      <c r="D581" s="169" t="s">
        <v>636</v>
      </c>
      <c r="E581" s="104"/>
      <c r="F581" s="76"/>
      <c r="G581" s="75"/>
      <c r="H581" s="76"/>
    </row>
    <row r="582" spans="1:11" s="150" customFormat="1" ht="27.75">
      <c r="A582" s="70">
        <v>267</v>
      </c>
      <c r="B582" s="24" t="s">
        <v>141</v>
      </c>
      <c r="C582" s="10" t="s">
        <v>142</v>
      </c>
      <c r="D582" s="10" t="s">
        <v>849</v>
      </c>
      <c r="E582" s="11">
        <f>15130*1.07</f>
        <v>16189.1</v>
      </c>
      <c r="F582" s="101" t="s">
        <v>845</v>
      </c>
      <c r="G582" s="13" t="s">
        <v>850</v>
      </c>
      <c r="H582" s="80">
        <v>1</v>
      </c>
    </row>
    <row r="583" spans="1:11" s="150" customFormat="1" ht="27.75">
      <c r="A583" s="76"/>
      <c r="B583" s="71"/>
      <c r="C583" s="72"/>
      <c r="D583" s="169" t="s">
        <v>226</v>
      </c>
      <c r="E583" s="104"/>
      <c r="F583" s="204"/>
      <c r="G583" s="170"/>
      <c r="H583" s="80"/>
    </row>
    <row r="584" spans="1:11" s="150" customFormat="1" ht="27.75">
      <c r="A584" s="70">
        <v>268</v>
      </c>
      <c r="B584" s="187" t="s">
        <v>698</v>
      </c>
      <c r="C584" s="159" t="s">
        <v>779</v>
      </c>
      <c r="D584" s="159" t="s">
        <v>883</v>
      </c>
      <c r="E584" s="1">
        <f>44700*1.07</f>
        <v>47829</v>
      </c>
      <c r="F584" s="101" t="s">
        <v>845</v>
      </c>
      <c r="G584" s="171" t="s">
        <v>851</v>
      </c>
      <c r="H584" s="70">
        <v>1</v>
      </c>
      <c r="K584" s="78"/>
    </row>
    <row r="585" spans="1:11" s="150" customFormat="1" ht="27.75">
      <c r="A585" s="76"/>
      <c r="B585" s="81"/>
      <c r="C585" s="77"/>
      <c r="D585" s="167" t="s">
        <v>889</v>
      </c>
      <c r="E585" s="94"/>
      <c r="F585" s="80"/>
      <c r="G585" s="84"/>
      <c r="H585" s="76"/>
    </row>
    <row r="586" spans="1:11" s="150" customFormat="1" ht="27.75">
      <c r="A586" s="70">
        <v>269</v>
      </c>
      <c r="B586" s="119" t="s">
        <v>124</v>
      </c>
      <c r="C586" s="10" t="s">
        <v>290</v>
      </c>
      <c r="D586" s="10" t="s">
        <v>852</v>
      </c>
      <c r="E586" s="11">
        <f>75000*1.07</f>
        <v>80250</v>
      </c>
      <c r="F586" s="101" t="s">
        <v>845</v>
      </c>
      <c r="G586" s="13" t="s">
        <v>853</v>
      </c>
      <c r="H586" s="70">
        <v>1</v>
      </c>
    </row>
    <row r="587" spans="1:11" s="150" customFormat="1" ht="27.75">
      <c r="A587" s="76"/>
      <c r="B587" s="71"/>
      <c r="C587" s="72"/>
      <c r="D587" s="121"/>
      <c r="E587" s="104"/>
      <c r="F587" s="76"/>
      <c r="G587" s="170"/>
      <c r="H587" s="76"/>
    </row>
    <row r="588" spans="1:11" s="150" customFormat="1" ht="27.75">
      <c r="A588" s="70">
        <v>270</v>
      </c>
      <c r="B588" s="185" t="s">
        <v>854</v>
      </c>
      <c r="C588" s="10" t="s">
        <v>855</v>
      </c>
      <c r="D588" s="172" t="s">
        <v>856</v>
      </c>
      <c r="E588" s="11">
        <f>78240*1.07</f>
        <v>83716.800000000003</v>
      </c>
      <c r="F588" s="101" t="s">
        <v>857</v>
      </c>
      <c r="G588" s="26" t="s">
        <v>858</v>
      </c>
      <c r="H588" s="70">
        <v>1</v>
      </c>
    </row>
    <row r="589" spans="1:11" s="150" customFormat="1" ht="27.75">
      <c r="A589" s="76"/>
      <c r="B589" s="71"/>
      <c r="C589" s="72"/>
      <c r="D589" s="72"/>
      <c r="E589" s="104"/>
      <c r="F589" s="76"/>
      <c r="G589" s="75"/>
      <c r="H589" s="76"/>
    </row>
    <row r="590" spans="1:11" s="150" customFormat="1" ht="27.75">
      <c r="A590" s="70">
        <v>271</v>
      </c>
      <c r="B590" s="70" t="s">
        <v>859</v>
      </c>
      <c r="C590" s="10" t="s">
        <v>860</v>
      </c>
      <c r="D590" s="10" t="s">
        <v>861</v>
      </c>
      <c r="E590" s="11">
        <f>36000*1.07</f>
        <v>38520</v>
      </c>
      <c r="F590" s="101" t="s">
        <v>857</v>
      </c>
      <c r="G590" s="26" t="s">
        <v>862</v>
      </c>
      <c r="H590" s="70">
        <v>1</v>
      </c>
    </row>
    <row r="591" spans="1:11" s="150" customFormat="1" ht="27.75">
      <c r="A591" s="76"/>
      <c r="B591" s="71"/>
      <c r="C591" s="72"/>
      <c r="D591" s="121"/>
      <c r="E591" s="104"/>
      <c r="F591" s="76"/>
      <c r="G591" s="75"/>
      <c r="H591" s="76"/>
    </row>
    <row r="592" spans="1:11" s="150" customFormat="1" ht="27.75">
      <c r="A592" s="70">
        <v>272</v>
      </c>
      <c r="B592" s="185" t="s">
        <v>863</v>
      </c>
      <c r="C592" s="10" t="s">
        <v>864</v>
      </c>
      <c r="D592" s="172" t="s">
        <v>886</v>
      </c>
      <c r="E592" s="11">
        <f>84579.44*1.07</f>
        <v>90500.000800000009</v>
      </c>
      <c r="F592" s="101" t="s">
        <v>857</v>
      </c>
      <c r="G592" s="26" t="s">
        <v>865</v>
      </c>
      <c r="H592" s="70">
        <v>1</v>
      </c>
    </row>
    <row r="593" spans="1:8" s="150" customFormat="1" ht="27.75">
      <c r="A593" s="76"/>
      <c r="B593" s="71"/>
      <c r="C593" s="72"/>
      <c r="D593" s="72" t="s">
        <v>887</v>
      </c>
      <c r="E593" s="104"/>
      <c r="F593" s="76"/>
      <c r="G593" s="75"/>
      <c r="H593" s="76"/>
    </row>
    <row r="594" spans="1:8" s="150" customFormat="1" ht="27.75">
      <c r="A594" s="70">
        <v>273</v>
      </c>
      <c r="B594" s="185" t="s">
        <v>863</v>
      </c>
      <c r="C594" s="10" t="s">
        <v>864</v>
      </c>
      <c r="D594" s="172" t="s">
        <v>886</v>
      </c>
      <c r="E594" s="205">
        <f>15000*1.07</f>
        <v>16050.000000000002</v>
      </c>
      <c r="F594" s="101" t="s">
        <v>857</v>
      </c>
      <c r="G594" s="13" t="s">
        <v>866</v>
      </c>
      <c r="H594" s="70">
        <v>1</v>
      </c>
    </row>
    <row r="595" spans="1:8" s="150" customFormat="1" ht="27.75">
      <c r="A595" s="76"/>
      <c r="B595" s="71"/>
      <c r="C595" s="72"/>
      <c r="D595" s="72" t="s">
        <v>888</v>
      </c>
      <c r="E595" s="206"/>
      <c r="F595" s="76"/>
      <c r="G595" s="170"/>
      <c r="H595" s="76"/>
    </row>
    <row r="596" spans="1:8" ht="28.5" thickBot="1">
      <c r="E596" s="212">
        <f>SUM(E7:E595)</f>
        <v>20543664.490800001</v>
      </c>
    </row>
    <row r="597" spans="1:8" ht="24" thickTop="1"/>
  </sheetData>
  <mergeCells count="134">
    <mergeCell ref="A32:A33"/>
    <mergeCell ref="B32:B33"/>
    <mergeCell ref="C32:C33"/>
    <mergeCell ref="D32:D33"/>
    <mergeCell ref="E32:E33"/>
    <mergeCell ref="F32:G32"/>
    <mergeCell ref="H32:H33"/>
    <mergeCell ref="E4:E5"/>
    <mergeCell ref="F4:G4"/>
    <mergeCell ref="H4:H5"/>
    <mergeCell ref="A6:B6"/>
    <mergeCell ref="A4:A5"/>
    <mergeCell ref="B4:B5"/>
    <mergeCell ref="C4:C5"/>
    <mergeCell ref="D4:D5"/>
    <mergeCell ref="F63:G63"/>
    <mergeCell ref="H63:H64"/>
    <mergeCell ref="A94:A95"/>
    <mergeCell ref="B94:B95"/>
    <mergeCell ref="C94:C95"/>
    <mergeCell ref="D94:D95"/>
    <mergeCell ref="E94:E95"/>
    <mergeCell ref="F94:G94"/>
    <mergeCell ref="H94:H95"/>
    <mergeCell ref="A63:A64"/>
    <mergeCell ref="B63:B64"/>
    <mergeCell ref="C63:C64"/>
    <mergeCell ref="D63:D64"/>
    <mergeCell ref="E63:E64"/>
    <mergeCell ref="F187:G187"/>
    <mergeCell ref="H187:H188"/>
    <mergeCell ref="A187:A188"/>
    <mergeCell ref="B187:B188"/>
    <mergeCell ref="C187:C188"/>
    <mergeCell ref="D187:D188"/>
    <mergeCell ref="E187:E188"/>
    <mergeCell ref="F125:G125"/>
    <mergeCell ref="H125:H126"/>
    <mergeCell ref="A156:A157"/>
    <mergeCell ref="B156:B157"/>
    <mergeCell ref="C156:C157"/>
    <mergeCell ref="D156:D157"/>
    <mergeCell ref="E156:E157"/>
    <mergeCell ref="F156:G156"/>
    <mergeCell ref="H156:H157"/>
    <mergeCell ref="A125:A126"/>
    <mergeCell ref="B125:B126"/>
    <mergeCell ref="C125:C126"/>
    <mergeCell ref="D125:D126"/>
    <mergeCell ref="E125:E126"/>
    <mergeCell ref="F219:G219"/>
    <mergeCell ref="H219:H220"/>
    <mergeCell ref="A251:A252"/>
    <mergeCell ref="B251:B252"/>
    <mergeCell ref="C251:C252"/>
    <mergeCell ref="D251:D252"/>
    <mergeCell ref="E251:E252"/>
    <mergeCell ref="F251:G251"/>
    <mergeCell ref="H251:H252"/>
    <mergeCell ref="A219:A220"/>
    <mergeCell ref="B219:B220"/>
    <mergeCell ref="C219:C220"/>
    <mergeCell ref="D219:D220"/>
    <mergeCell ref="E219:E220"/>
    <mergeCell ref="F347:G347"/>
    <mergeCell ref="H347:H348"/>
    <mergeCell ref="A347:A348"/>
    <mergeCell ref="B347:B348"/>
    <mergeCell ref="C347:C348"/>
    <mergeCell ref="D347:D348"/>
    <mergeCell ref="E347:E348"/>
    <mergeCell ref="F283:G283"/>
    <mergeCell ref="H283:H284"/>
    <mergeCell ref="A315:A316"/>
    <mergeCell ref="B315:B316"/>
    <mergeCell ref="C315:C316"/>
    <mergeCell ref="D315:D316"/>
    <mergeCell ref="E315:E316"/>
    <mergeCell ref="F315:G315"/>
    <mergeCell ref="H315:H316"/>
    <mergeCell ref="A283:A284"/>
    <mergeCell ref="B283:B284"/>
    <mergeCell ref="C283:C284"/>
    <mergeCell ref="D283:D284"/>
    <mergeCell ref="E283:E284"/>
    <mergeCell ref="A379:A380"/>
    <mergeCell ref="B379:B380"/>
    <mergeCell ref="C379:C380"/>
    <mergeCell ref="D379:D380"/>
    <mergeCell ref="E379:E380"/>
    <mergeCell ref="F379:G379"/>
    <mergeCell ref="H379:H380"/>
    <mergeCell ref="A411:A412"/>
    <mergeCell ref="B411:B412"/>
    <mergeCell ref="C411:C412"/>
    <mergeCell ref="D411:D412"/>
    <mergeCell ref="E411:E412"/>
    <mergeCell ref="F411:G411"/>
    <mergeCell ref="H411:H412"/>
    <mergeCell ref="F443:G443"/>
    <mergeCell ref="H443:H444"/>
    <mergeCell ref="A475:A476"/>
    <mergeCell ref="B475:B476"/>
    <mergeCell ref="C475:C476"/>
    <mergeCell ref="D475:D476"/>
    <mergeCell ref="E475:E476"/>
    <mergeCell ref="F475:G475"/>
    <mergeCell ref="H475:H476"/>
    <mergeCell ref="A443:A444"/>
    <mergeCell ref="B443:B444"/>
    <mergeCell ref="C443:C444"/>
    <mergeCell ref="D443:D444"/>
    <mergeCell ref="E443:E444"/>
    <mergeCell ref="F570:G570"/>
    <mergeCell ref="H570:H571"/>
    <mergeCell ref="A570:A571"/>
    <mergeCell ref="B570:B571"/>
    <mergeCell ref="C570:C571"/>
    <mergeCell ref="D570:D571"/>
    <mergeCell ref="E570:E571"/>
    <mergeCell ref="F506:G506"/>
    <mergeCell ref="H506:H507"/>
    <mergeCell ref="A538:A539"/>
    <mergeCell ref="B538:B539"/>
    <mergeCell ref="C538:C539"/>
    <mergeCell ref="D538:D539"/>
    <mergeCell ref="E538:E539"/>
    <mergeCell ref="F538:G538"/>
    <mergeCell ref="H538:H539"/>
    <mergeCell ref="A506:A507"/>
    <mergeCell ref="B506:B507"/>
    <mergeCell ref="C506:C507"/>
    <mergeCell ref="D506:D507"/>
    <mergeCell ref="E506:E507"/>
  </mergeCells>
  <pageMargins left="0.7" right="0.7" top="0.75" bottom="0.75" header="0.3" footer="0.3"/>
  <pageSetup paperSize="9" scale="55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6"/>
  <sheetViews>
    <sheetView zoomScaleNormal="100" workbookViewId="0">
      <selection sqref="A1:XFD3"/>
    </sheetView>
  </sheetViews>
  <sheetFormatPr defaultRowHeight="23.25"/>
  <cols>
    <col min="1" max="1" width="9.28515625" style="3" customWidth="1"/>
    <col min="2" max="2" width="19.5703125" style="3" customWidth="1"/>
    <col min="3" max="3" width="48.42578125" style="3" customWidth="1"/>
    <col min="4" max="4" width="98.7109375" style="3" customWidth="1"/>
    <col min="5" max="5" width="20.28515625" style="3" customWidth="1"/>
    <col min="6" max="6" width="21.42578125" style="3" customWidth="1"/>
    <col min="7" max="7" width="18.28515625" style="3" customWidth="1"/>
    <col min="8" max="8" width="10.7109375" style="3" customWidth="1"/>
    <col min="9" max="9" width="40.7109375" style="3" customWidth="1"/>
    <col min="10" max="16384" width="9.140625" style="3"/>
  </cols>
  <sheetData>
    <row r="1" spans="1:9" s="144" customFormat="1" ht="33">
      <c r="A1" s="142"/>
      <c r="B1" s="213" t="s">
        <v>890</v>
      </c>
      <c r="C1" s="213"/>
      <c r="D1" s="213"/>
      <c r="E1" s="213"/>
      <c r="F1" s="213"/>
      <c r="G1" s="213"/>
      <c r="H1" s="213"/>
      <c r="I1" s="143"/>
    </row>
    <row r="2" spans="1:9" s="144" customFormat="1" ht="33">
      <c r="A2" s="145"/>
      <c r="B2" s="214" t="s">
        <v>893</v>
      </c>
      <c r="C2" s="214"/>
      <c r="D2" s="214"/>
      <c r="E2" s="214"/>
      <c r="F2" s="214"/>
      <c r="G2" s="214"/>
      <c r="H2" s="214"/>
      <c r="I2" s="146"/>
    </row>
    <row r="3" spans="1:9" s="144" customFormat="1" ht="33">
      <c r="A3" s="145"/>
      <c r="B3" s="215" t="s">
        <v>892</v>
      </c>
      <c r="C3" s="215"/>
      <c r="D3" s="215"/>
      <c r="E3" s="215"/>
      <c r="F3" s="215"/>
      <c r="G3" s="215"/>
      <c r="H3" s="215"/>
      <c r="I3" s="147"/>
    </row>
    <row r="4" spans="1:9" ht="27.75" customHeight="1">
      <c r="A4" s="336" t="s">
        <v>561</v>
      </c>
      <c r="B4" s="338" t="s">
        <v>0</v>
      </c>
      <c r="C4" s="341" t="s">
        <v>1</v>
      </c>
      <c r="D4" s="351" t="s">
        <v>2</v>
      </c>
      <c r="E4" s="336" t="s">
        <v>3</v>
      </c>
      <c r="F4" s="344" t="s">
        <v>4</v>
      </c>
      <c r="G4" s="341"/>
      <c r="H4" s="336" t="s">
        <v>5</v>
      </c>
      <c r="I4" s="5"/>
    </row>
    <row r="5" spans="1:9" ht="54.75" customHeight="1">
      <c r="A5" s="337"/>
      <c r="B5" s="339"/>
      <c r="C5" s="341"/>
      <c r="D5" s="351"/>
      <c r="E5" s="337"/>
      <c r="F5" s="217" t="s">
        <v>6</v>
      </c>
      <c r="G5" s="218" t="s">
        <v>7</v>
      </c>
      <c r="H5" s="337"/>
    </row>
    <row r="6" spans="1:9" ht="27.75">
      <c r="A6" s="334" t="s">
        <v>8</v>
      </c>
      <c r="B6" s="335"/>
      <c r="C6" s="6"/>
      <c r="D6" s="7"/>
      <c r="E6" s="6"/>
      <c r="F6" s="6"/>
      <c r="G6" s="7"/>
      <c r="H6" s="8"/>
    </row>
    <row r="7" spans="1:9" ht="27.75">
      <c r="A7" s="70">
        <v>1</v>
      </c>
      <c r="B7" s="36" t="s">
        <v>14</v>
      </c>
      <c r="C7" s="10" t="s">
        <v>15</v>
      </c>
      <c r="D7" s="10" t="s">
        <v>894</v>
      </c>
      <c r="E7" s="219">
        <f>320*1.07</f>
        <v>342.40000000000003</v>
      </c>
      <c r="F7" s="101" t="s">
        <v>895</v>
      </c>
      <c r="G7" s="171" t="s">
        <v>896</v>
      </c>
      <c r="H7" s="70">
        <v>1</v>
      </c>
    </row>
    <row r="8" spans="1:9" ht="27.75">
      <c r="A8" s="76"/>
      <c r="B8" s="75"/>
      <c r="C8" s="72"/>
      <c r="D8" s="169" t="s">
        <v>19</v>
      </c>
      <c r="E8" s="104"/>
      <c r="F8" s="76"/>
      <c r="G8" s="170"/>
      <c r="H8" s="76"/>
    </row>
    <row r="9" spans="1:9" ht="27.75">
      <c r="A9" s="70">
        <v>2</v>
      </c>
      <c r="B9" s="22" t="s">
        <v>623</v>
      </c>
      <c r="C9" s="159" t="s">
        <v>624</v>
      </c>
      <c r="D9" s="186" t="s">
        <v>897</v>
      </c>
      <c r="E9" s="1">
        <f>11000*1.07</f>
        <v>11770</v>
      </c>
      <c r="F9" s="101" t="s">
        <v>895</v>
      </c>
      <c r="G9" s="171" t="s">
        <v>898</v>
      </c>
      <c r="H9" s="80">
        <v>1</v>
      </c>
    </row>
    <row r="10" spans="1:9" ht="27.75">
      <c r="A10" s="76"/>
      <c r="B10" s="75"/>
      <c r="C10" s="72"/>
      <c r="D10" s="169"/>
      <c r="E10" s="104"/>
      <c r="F10" s="76"/>
      <c r="G10" s="170"/>
      <c r="H10" s="80"/>
    </row>
    <row r="11" spans="1:9" ht="27.75">
      <c r="A11" s="70">
        <v>3</v>
      </c>
      <c r="B11" s="28" t="s">
        <v>54</v>
      </c>
      <c r="C11" s="159" t="s">
        <v>243</v>
      </c>
      <c r="D11" s="159" t="s">
        <v>899</v>
      </c>
      <c r="E11" s="1">
        <f>5677*1.07</f>
        <v>6074.39</v>
      </c>
      <c r="F11" s="101" t="s">
        <v>895</v>
      </c>
      <c r="G11" s="171" t="s">
        <v>900</v>
      </c>
      <c r="H11" s="70">
        <v>1</v>
      </c>
    </row>
    <row r="12" spans="1:9" ht="27.75">
      <c r="A12" s="76"/>
      <c r="B12" s="87"/>
      <c r="C12" s="72"/>
      <c r="D12" s="169" t="s">
        <v>349</v>
      </c>
      <c r="E12" s="177"/>
      <c r="F12" s="178"/>
      <c r="G12" s="170"/>
      <c r="H12" s="76"/>
    </row>
    <row r="13" spans="1:9" ht="27.75">
      <c r="A13" s="70">
        <v>4</v>
      </c>
      <c r="B13" s="44" t="s">
        <v>40</v>
      </c>
      <c r="C13" s="159" t="s">
        <v>594</v>
      </c>
      <c r="D13" s="159" t="s">
        <v>901</v>
      </c>
      <c r="E13" s="1">
        <f>75600*1.07</f>
        <v>80892</v>
      </c>
      <c r="F13" s="101" t="s">
        <v>895</v>
      </c>
      <c r="G13" s="171" t="s">
        <v>902</v>
      </c>
      <c r="H13" s="70">
        <v>1</v>
      </c>
    </row>
    <row r="14" spans="1:9" ht="27.75">
      <c r="A14" s="76"/>
      <c r="B14" s="75"/>
      <c r="C14" s="72"/>
      <c r="D14" s="169"/>
      <c r="E14" s="104"/>
      <c r="F14" s="76"/>
      <c r="G14" s="170"/>
      <c r="H14" s="76"/>
    </row>
    <row r="15" spans="1:9" ht="27.75">
      <c r="A15" s="70">
        <v>5</v>
      </c>
      <c r="B15" s="37" t="s">
        <v>27</v>
      </c>
      <c r="C15" s="159" t="s">
        <v>28</v>
      </c>
      <c r="D15" s="159" t="s">
        <v>903</v>
      </c>
      <c r="E15" s="1">
        <f>66000*1.07</f>
        <v>70620</v>
      </c>
      <c r="F15" s="101" t="s">
        <v>895</v>
      </c>
      <c r="G15" s="171" t="s">
        <v>904</v>
      </c>
      <c r="H15" s="80">
        <v>1</v>
      </c>
    </row>
    <row r="16" spans="1:9" ht="27.75">
      <c r="A16" s="76"/>
      <c r="B16" s="160"/>
      <c r="C16" s="77"/>
      <c r="D16" s="77"/>
      <c r="E16" s="94"/>
      <c r="F16" s="80"/>
      <c r="G16" s="175"/>
      <c r="H16" s="80"/>
    </row>
    <row r="17" spans="1:9" ht="27.75">
      <c r="A17" s="70">
        <v>6</v>
      </c>
      <c r="B17" s="119" t="s">
        <v>124</v>
      </c>
      <c r="C17" s="10" t="s">
        <v>290</v>
      </c>
      <c r="D17" s="10" t="s">
        <v>905</v>
      </c>
      <c r="E17" s="11">
        <f>81460*1.07</f>
        <v>87162.200000000012</v>
      </c>
      <c r="F17" s="101" t="s">
        <v>895</v>
      </c>
      <c r="G17" s="26" t="s">
        <v>906</v>
      </c>
      <c r="H17" s="70">
        <v>1</v>
      </c>
    </row>
    <row r="18" spans="1:9" ht="27.75">
      <c r="A18" s="76"/>
      <c r="B18" s="71"/>
      <c r="C18" s="72"/>
      <c r="D18" s="169" t="s">
        <v>636</v>
      </c>
      <c r="E18" s="104"/>
      <c r="F18" s="76"/>
      <c r="G18" s="170"/>
      <c r="H18" s="76"/>
    </row>
    <row r="19" spans="1:9" ht="27.75">
      <c r="A19" s="70">
        <v>7</v>
      </c>
      <c r="B19" s="162" t="s">
        <v>907</v>
      </c>
      <c r="C19" s="159" t="s">
        <v>908</v>
      </c>
      <c r="D19" s="186" t="s">
        <v>909</v>
      </c>
      <c r="E19" s="1">
        <f>1200*1.07</f>
        <v>1284</v>
      </c>
      <c r="F19" s="101" t="s">
        <v>895</v>
      </c>
      <c r="G19" s="171" t="s">
        <v>910</v>
      </c>
      <c r="H19" s="70">
        <v>1</v>
      </c>
    </row>
    <row r="20" spans="1:9" ht="27.75">
      <c r="A20" s="76"/>
      <c r="B20" s="71"/>
      <c r="C20" s="72"/>
      <c r="D20" s="169" t="s">
        <v>138</v>
      </c>
      <c r="E20" s="104"/>
      <c r="F20" s="76"/>
      <c r="G20" s="170"/>
      <c r="H20" s="76"/>
    </row>
    <row r="21" spans="1:9" ht="27.75">
      <c r="A21" s="70">
        <v>8</v>
      </c>
      <c r="B21" s="171" t="s">
        <v>488</v>
      </c>
      <c r="C21" s="159" t="s">
        <v>911</v>
      </c>
      <c r="D21" s="159" t="s">
        <v>912</v>
      </c>
      <c r="E21" s="1">
        <f>53000*1.07</f>
        <v>56710</v>
      </c>
      <c r="F21" s="101" t="s">
        <v>913</v>
      </c>
      <c r="G21" s="171" t="s">
        <v>914</v>
      </c>
      <c r="H21" s="80">
        <v>1</v>
      </c>
    </row>
    <row r="22" spans="1:9" ht="27.75">
      <c r="A22" s="76"/>
      <c r="B22" s="71"/>
      <c r="C22" s="72"/>
      <c r="D22" s="169"/>
      <c r="E22" s="104"/>
      <c r="F22" s="76"/>
      <c r="G22" s="170"/>
      <c r="H22" s="80"/>
    </row>
    <row r="23" spans="1:9" ht="27.75">
      <c r="A23" s="70">
        <v>9</v>
      </c>
      <c r="B23" s="44" t="s">
        <v>40</v>
      </c>
      <c r="C23" s="159" t="s">
        <v>41</v>
      </c>
      <c r="D23" s="159" t="s">
        <v>915</v>
      </c>
      <c r="E23" s="1">
        <f>76900*1.07</f>
        <v>82283</v>
      </c>
      <c r="F23" s="101" t="s">
        <v>913</v>
      </c>
      <c r="G23" s="171" t="s">
        <v>916</v>
      </c>
      <c r="H23" s="70">
        <v>1</v>
      </c>
    </row>
    <row r="24" spans="1:9" ht="27.75">
      <c r="A24" s="76"/>
      <c r="B24" s="84"/>
      <c r="C24" s="159" t="s">
        <v>44</v>
      </c>
      <c r="D24" s="72"/>
      <c r="E24" s="104"/>
      <c r="F24" s="76"/>
      <c r="G24" s="170"/>
      <c r="H24" s="76"/>
    </row>
    <row r="25" spans="1:9" ht="27.75">
      <c r="A25" s="70">
        <v>10</v>
      </c>
      <c r="B25" s="28" t="s">
        <v>54</v>
      </c>
      <c r="C25" s="10" t="s">
        <v>243</v>
      </c>
      <c r="D25" s="159" t="s">
        <v>917</v>
      </c>
      <c r="E25" s="1">
        <f>12800*1.07</f>
        <v>13696</v>
      </c>
      <c r="F25" s="101" t="s">
        <v>913</v>
      </c>
      <c r="G25" s="171" t="s">
        <v>918</v>
      </c>
      <c r="H25" s="70">
        <v>1</v>
      </c>
    </row>
    <row r="26" spans="1:9" ht="27.75">
      <c r="A26" s="76"/>
      <c r="B26" s="85"/>
      <c r="C26" s="72"/>
      <c r="D26" s="167"/>
      <c r="E26" s="112"/>
      <c r="F26" s="220"/>
      <c r="G26" s="175"/>
      <c r="H26" s="80"/>
    </row>
    <row r="27" spans="1:9" ht="27.75">
      <c r="A27" s="70">
        <v>11</v>
      </c>
      <c r="B27" s="22" t="s">
        <v>285</v>
      </c>
      <c r="C27" s="10" t="s">
        <v>286</v>
      </c>
      <c r="D27" s="10" t="s">
        <v>919</v>
      </c>
      <c r="E27" s="11">
        <f>83000*1.07</f>
        <v>88810</v>
      </c>
      <c r="F27" s="101" t="s">
        <v>913</v>
      </c>
      <c r="G27" s="26" t="s">
        <v>920</v>
      </c>
      <c r="H27" s="70">
        <v>1</v>
      </c>
    </row>
    <row r="28" spans="1:9" ht="27.75">
      <c r="A28" s="76"/>
      <c r="B28" s="76"/>
      <c r="C28" s="72"/>
      <c r="D28" s="17" t="s">
        <v>921</v>
      </c>
      <c r="E28" s="104"/>
      <c r="F28" s="76"/>
      <c r="G28" s="170"/>
      <c r="H28" s="76"/>
    </row>
    <row r="29" spans="1:9" ht="27.75">
      <c r="A29" s="70">
        <v>12</v>
      </c>
      <c r="B29" s="24" t="s">
        <v>141</v>
      </c>
      <c r="C29" s="159" t="s">
        <v>142</v>
      </c>
      <c r="D29" s="159" t="s">
        <v>922</v>
      </c>
      <c r="E29" s="1">
        <f>24900*1.07</f>
        <v>26643</v>
      </c>
      <c r="F29" s="116" t="s">
        <v>923</v>
      </c>
      <c r="G29" s="171" t="s">
        <v>924</v>
      </c>
      <c r="H29" s="80">
        <v>1</v>
      </c>
    </row>
    <row r="30" spans="1:9" ht="27.75">
      <c r="A30" s="76"/>
      <c r="B30" s="75"/>
      <c r="C30" s="72"/>
      <c r="D30" s="169" t="s">
        <v>138</v>
      </c>
      <c r="E30" s="104"/>
      <c r="F30" s="76"/>
      <c r="G30" s="170"/>
      <c r="H30" s="76"/>
    </row>
    <row r="31" spans="1:9" s="43" customFormat="1" ht="27.75">
      <c r="A31" s="70">
        <v>13</v>
      </c>
      <c r="B31" s="36" t="s">
        <v>14</v>
      </c>
      <c r="C31" s="159" t="s">
        <v>15</v>
      </c>
      <c r="D31" s="159" t="s">
        <v>925</v>
      </c>
      <c r="E31" s="1">
        <f>38400*1.07</f>
        <v>41088</v>
      </c>
      <c r="F31" s="101" t="s">
        <v>923</v>
      </c>
      <c r="G31" s="171" t="s">
        <v>926</v>
      </c>
      <c r="H31" s="70">
        <v>1</v>
      </c>
    </row>
    <row r="32" spans="1:9" ht="27.75" customHeight="1">
      <c r="A32" s="76"/>
      <c r="B32" s="71"/>
      <c r="C32" s="72"/>
      <c r="D32" s="169"/>
      <c r="E32" s="104"/>
      <c r="F32" s="76"/>
      <c r="G32" s="170"/>
      <c r="H32" s="76"/>
      <c r="I32" s="5"/>
    </row>
    <row r="33" spans="1:8" ht="27.75">
      <c r="A33" s="70">
        <v>14</v>
      </c>
      <c r="B33" s="44" t="s">
        <v>40</v>
      </c>
      <c r="C33" s="10" t="s">
        <v>41</v>
      </c>
      <c r="D33" s="10" t="s">
        <v>927</v>
      </c>
      <c r="E33" s="11">
        <f>76145*1.07</f>
        <v>81475.150000000009</v>
      </c>
      <c r="F33" s="101" t="s">
        <v>923</v>
      </c>
      <c r="G33" s="13" t="s">
        <v>928</v>
      </c>
      <c r="H33" s="70">
        <v>1</v>
      </c>
    </row>
    <row r="34" spans="1:8" ht="27.75">
      <c r="A34" s="76"/>
      <c r="B34" s="75"/>
      <c r="C34" s="17" t="s">
        <v>44</v>
      </c>
      <c r="D34" s="169" t="s">
        <v>929</v>
      </c>
      <c r="E34" s="104"/>
      <c r="F34" s="76"/>
      <c r="G34" s="170"/>
      <c r="H34" s="76"/>
    </row>
    <row r="35" spans="1:8" ht="27.75">
      <c r="A35" s="336" t="s">
        <v>561</v>
      </c>
      <c r="B35" s="347" t="s">
        <v>0</v>
      </c>
      <c r="C35" s="336" t="s">
        <v>1</v>
      </c>
      <c r="D35" s="336" t="s">
        <v>2</v>
      </c>
      <c r="E35" s="336" t="s">
        <v>3</v>
      </c>
      <c r="F35" s="340" t="s">
        <v>4</v>
      </c>
      <c r="G35" s="344"/>
      <c r="H35" s="336" t="s">
        <v>5</v>
      </c>
    </row>
    <row r="36" spans="1:8" ht="58.5" customHeight="1">
      <c r="A36" s="337"/>
      <c r="B36" s="348"/>
      <c r="C36" s="337"/>
      <c r="D36" s="337"/>
      <c r="E36" s="337"/>
      <c r="F36" s="217" t="s">
        <v>6</v>
      </c>
      <c r="G36" s="218" t="s">
        <v>7</v>
      </c>
      <c r="H36" s="337"/>
    </row>
    <row r="37" spans="1:8" ht="27.75">
      <c r="A37" s="70">
        <v>15</v>
      </c>
      <c r="B37" s="36" t="s">
        <v>14</v>
      </c>
      <c r="C37" s="10" t="s">
        <v>15</v>
      </c>
      <c r="D37" s="10" t="s">
        <v>930</v>
      </c>
      <c r="E37" s="11">
        <f>9750*1.07</f>
        <v>10432.5</v>
      </c>
      <c r="F37" s="101" t="s">
        <v>923</v>
      </c>
      <c r="G37" s="13" t="s">
        <v>931</v>
      </c>
      <c r="H37" s="70">
        <v>1</v>
      </c>
    </row>
    <row r="38" spans="1:8" ht="27.75">
      <c r="A38" s="76"/>
      <c r="B38" s="71"/>
      <c r="C38" s="72"/>
      <c r="D38" s="188"/>
      <c r="E38" s="104"/>
      <c r="F38" s="76"/>
      <c r="G38" s="170"/>
      <c r="H38" s="76"/>
    </row>
    <row r="39" spans="1:8" ht="27.75">
      <c r="A39" s="70">
        <v>16</v>
      </c>
      <c r="B39" s="187" t="s">
        <v>698</v>
      </c>
      <c r="C39" s="10" t="s">
        <v>779</v>
      </c>
      <c r="D39" s="10" t="s">
        <v>932</v>
      </c>
      <c r="E39" s="11">
        <f>17500*1.07</f>
        <v>18725</v>
      </c>
      <c r="F39" s="101" t="s">
        <v>923</v>
      </c>
      <c r="G39" s="13" t="s">
        <v>933</v>
      </c>
      <c r="H39" s="70">
        <v>1</v>
      </c>
    </row>
    <row r="40" spans="1:8" ht="27.75">
      <c r="A40" s="76"/>
      <c r="B40" s="71"/>
      <c r="C40" s="72"/>
      <c r="D40" s="72"/>
      <c r="E40" s="177"/>
      <c r="F40" s="76"/>
      <c r="G40" s="170"/>
      <c r="H40" s="76"/>
    </row>
    <row r="41" spans="1:8" ht="27.75">
      <c r="A41" s="70">
        <v>17</v>
      </c>
      <c r="B41" s="162" t="s">
        <v>841</v>
      </c>
      <c r="C41" s="159" t="s">
        <v>934</v>
      </c>
      <c r="D41" s="159" t="s">
        <v>935</v>
      </c>
      <c r="E41" s="183">
        <f>8600*1.07</f>
        <v>9202</v>
      </c>
      <c r="F41" s="101" t="s">
        <v>923</v>
      </c>
      <c r="G41" s="184" t="s">
        <v>936</v>
      </c>
      <c r="H41" s="80">
        <v>1</v>
      </c>
    </row>
    <row r="42" spans="1:8" ht="27.75">
      <c r="A42" s="76"/>
      <c r="B42" s="71"/>
      <c r="C42" s="72"/>
      <c r="D42" s="72"/>
      <c r="E42" s="104"/>
      <c r="F42" s="76"/>
      <c r="G42" s="170"/>
      <c r="H42" s="80"/>
    </row>
    <row r="43" spans="1:8" ht="27.75">
      <c r="A43" s="70">
        <v>18</v>
      </c>
      <c r="B43" s="28" t="s">
        <v>9</v>
      </c>
      <c r="C43" s="159" t="s">
        <v>10</v>
      </c>
      <c r="D43" s="159" t="s">
        <v>937</v>
      </c>
      <c r="E43" s="183">
        <f>1280*1.07</f>
        <v>1369.6000000000001</v>
      </c>
      <c r="F43" s="101" t="s">
        <v>923</v>
      </c>
      <c r="G43" s="184" t="s">
        <v>938</v>
      </c>
      <c r="H43" s="70">
        <v>1</v>
      </c>
    </row>
    <row r="44" spans="1:8" ht="27.75">
      <c r="A44" s="76"/>
      <c r="B44" s="71"/>
      <c r="C44" s="72"/>
      <c r="D44" s="17"/>
      <c r="E44" s="104"/>
      <c r="F44" s="76"/>
      <c r="G44" s="170"/>
      <c r="H44" s="76"/>
    </row>
    <row r="45" spans="1:8" ht="27.75">
      <c r="A45" s="70">
        <v>19</v>
      </c>
      <c r="B45" s="37" t="s">
        <v>27</v>
      </c>
      <c r="C45" s="10" t="s">
        <v>28</v>
      </c>
      <c r="D45" s="172" t="s">
        <v>939</v>
      </c>
      <c r="E45" s="11">
        <f>17550*1.07</f>
        <v>18778.5</v>
      </c>
      <c r="F45" s="101" t="s">
        <v>923</v>
      </c>
      <c r="G45" s="13" t="s">
        <v>940</v>
      </c>
      <c r="H45" s="70">
        <v>1</v>
      </c>
    </row>
    <row r="46" spans="1:8" ht="27.75">
      <c r="A46" s="76"/>
      <c r="B46" s="71"/>
      <c r="C46" s="72"/>
      <c r="D46" s="17"/>
      <c r="E46" s="104"/>
      <c r="F46" s="76"/>
      <c r="G46" s="170"/>
      <c r="H46" s="76"/>
    </row>
    <row r="47" spans="1:8" ht="27.75">
      <c r="A47" s="70">
        <v>20</v>
      </c>
      <c r="B47" s="26" t="s">
        <v>488</v>
      </c>
      <c r="C47" s="182" t="s">
        <v>369</v>
      </c>
      <c r="D47" s="241" t="s">
        <v>1200</v>
      </c>
      <c r="E47" s="242">
        <v>270592.3</v>
      </c>
      <c r="F47" s="69" t="s">
        <v>923</v>
      </c>
      <c r="G47" s="70" t="s">
        <v>1201</v>
      </c>
      <c r="H47" s="181">
        <v>1</v>
      </c>
    </row>
    <row r="48" spans="1:8" ht="27.75">
      <c r="A48" s="76"/>
      <c r="B48" s="72"/>
      <c r="C48" s="73"/>
      <c r="D48" s="169"/>
      <c r="E48" s="239"/>
      <c r="F48" s="93"/>
      <c r="G48" s="76"/>
      <c r="H48" s="175"/>
    </row>
    <row r="49" spans="1:9" ht="27.75">
      <c r="A49" s="70">
        <v>21</v>
      </c>
      <c r="B49" s="162" t="s">
        <v>941</v>
      </c>
      <c r="C49" s="159" t="s">
        <v>942</v>
      </c>
      <c r="D49" s="77" t="s">
        <v>943</v>
      </c>
      <c r="E49" s="183">
        <f>36000*1.07</f>
        <v>38520</v>
      </c>
      <c r="F49" s="116" t="s">
        <v>944</v>
      </c>
      <c r="G49" s="184" t="s">
        <v>862</v>
      </c>
      <c r="H49" s="70">
        <v>1</v>
      </c>
    </row>
    <row r="50" spans="1:9" ht="27.75">
      <c r="A50" s="76"/>
      <c r="B50" s="71"/>
      <c r="C50" s="72"/>
      <c r="D50" s="72"/>
      <c r="E50" s="104"/>
      <c r="F50" s="76"/>
      <c r="G50" s="170"/>
      <c r="H50" s="76"/>
    </row>
    <row r="51" spans="1:9" ht="27.75">
      <c r="A51" s="70">
        <v>22</v>
      </c>
      <c r="B51" s="105" t="s">
        <v>100</v>
      </c>
      <c r="C51" s="159" t="s">
        <v>101</v>
      </c>
      <c r="D51" s="77" t="s">
        <v>945</v>
      </c>
      <c r="E51" s="183">
        <f>67500*1.07</f>
        <v>72225</v>
      </c>
      <c r="F51" s="101" t="s">
        <v>944</v>
      </c>
      <c r="G51" s="184" t="s">
        <v>946</v>
      </c>
      <c r="H51" s="70">
        <v>1</v>
      </c>
    </row>
    <row r="52" spans="1:9" ht="27.75">
      <c r="A52" s="76"/>
      <c r="B52" s="71"/>
      <c r="C52" s="72"/>
      <c r="D52" s="72"/>
      <c r="E52" s="104"/>
      <c r="F52" s="76"/>
      <c r="G52" s="170"/>
      <c r="H52" s="76"/>
    </row>
    <row r="53" spans="1:9" ht="27.75">
      <c r="A53" s="70">
        <v>23</v>
      </c>
      <c r="B53" s="28" t="s">
        <v>54</v>
      </c>
      <c r="C53" s="159" t="s">
        <v>243</v>
      </c>
      <c r="D53" s="77" t="s">
        <v>947</v>
      </c>
      <c r="E53" s="183">
        <f>82600*1.07</f>
        <v>88382</v>
      </c>
      <c r="F53" s="101" t="s">
        <v>944</v>
      </c>
      <c r="G53" s="184" t="s">
        <v>948</v>
      </c>
      <c r="H53" s="80">
        <v>1</v>
      </c>
    </row>
    <row r="54" spans="1:9" ht="27.75">
      <c r="A54" s="76"/>
      <c r="B54" s="81"/>
      <c r="C54" s="77"/>
      <c r="D54" s="77"/>
      <c r="E54" s="94"/>
      <c r="F54" s="80"/>
      <c r="G54" s="175"/>
      <c r="H54" s="80"/>
    </row>
    <row r="55" spans="1:9" ht="27.75">
      <c r="A55" s="70">
        <v>24</v>
      </c>
      <c r="B55" s="70" t="s">
        <v>183</v>
      </c>
      <c r="C55" s="10" t="s">
        <v>70</v>
      </c>
      <c r="D55" s="10" t="s">
        <v>949</v>
      </c>
      <c r="E55" s="11">
        <f>55530*1.07</f>
        <v>59417.100000000006</v>
      </c>
      <c r="F55" s="101" t="s">
        <v>944</v>
      </c>
      <c r="G55" s="13" t="s">
        <v>950</v>
      </c>
      <c r="H55" s="70">
        <v>1</v>
      </c>
    </row>
    <row r="56" spans="1:9" ht="27.75">
      <c r="A56" s="76"/>
      <c r="B56" s="85"/>
      <c r="C56" s="72"/>
      <c r="D56" s="169"/>
      <c r="E56" s="177"/>
      <c r="F56" s="178"/>
      <c r="G56" s="170"/>
      <c r="H56" s="76"/>
    </row>
    <row r="57" spans="1:9" ht="27.75">
      <c r="A57" s="70">
        <v>25</v>
      </c>
      <c r="B57" s="70" t="s">
        <v>183</v>
      </c>
      <c r="C57" s="159" t="s">
        <v>184</v>
      </c>
      <c r="D57" s="159" t="s">
        <v>951</v>
      </c>
      <c r="E57" s="183">
        <f>6921*1.07</f>
        <v>7405.47</v>
      </c>
      <c r="F57" s="101" t="s">
        <v>944</v>
      </c>
      <c r="G57" s="184" t="s">
        <v>952</v>
      </c>
      <c r="H57" s="70">
        <v>1</v>
      </c>
    </row>
    <row r="58" spans="1:9" ht="27.75">
      <c r="A58" s="76"/>
      <c r="B58" s="81"/>
      <c r="C58" s="77"/>
      <c r="D58" s="167"/>
      <c r="E58" s="94"/>
      <c r="F58" s="80"/>
      <c r="G58" s="175"/>
      <c r="H58" s="76"/>
    </row>
    <row r="59" spans="1:9" ht="27.75">
      <c r="A59" s="70">
        <v>26</v>
      </c>
      <c r="B59" s="44" t="s">
        <v>40</v>
      </c>
      <c r="C59" s="10" t="s">
        <v>41</v>
      </c>
      <c r="D59" s="10" t="s">
        <v>953</v>
      </c>
      <c r="E59" s="11">
        <f>15360*1.07</f>
        <v>16435.2</v>
      </c>
      <c r="F59" s="101" t="s">
        <v>944</v>
      </c>
      <c r="G59" s="13" t="s">
        <v>954</v>
      </c>
      <c r="H59" s="70">
        <v>1</v>
      </c>
    </row>
    <row r="60" spans="1:9" ht="27.75">
      <c r="A60" s="76"/>
      <c r="B60" s="71"/>
      <c r="C60" s="159" t="s">
        <v>44</v>
      </c>
      <c r="D60" s="72"/>
      <c r="E60" s="104"/>
      <c r="F60" s="76"/>
      <c r="G60" s="170"/>
      <c r="H60" s="76"/>
    </row>
    <row r="61" spans="1:9" ht="27.75">
      <c r="A61" s="70">
        <v>27</v>
      </c>
      <c r="B61" s="162" t="s">
        <v>955</v>
      </c>
      <c r="C61" s="10" t="s">
        <v>956</v>
      </c>
      <c r="D61" s="159" t="s">
        <v>957</v>
      </c>
      <c r="E61" s="183">
        <f>60000*1.07</f>
        <v>64200.000000000007</v>
      </c>
      <c r="F61" s="101" t="s">
        <v>944</v>
      </c>
      <c r="G61" s="184" t="s">
        <v>958</v>
      </c>
      <c r="H61" s="70">
        <v>1</v>
      </c>
    </row>
    <row r="62" spans="1:9" ht="27.75">
      <c r="A62" s="76"/>
      <c r="B62" s="71"/>
      <c r="C62" s="72"/>
      <c r="D62" s="72"/>
      <c r="E62" s="104"/>
      <c r="F62" s="76"/>
      <c r="G62" s="170"/>
      <c r="H62" s="76"/>
    </row>
    <row r="63" spans="1:9" s="43" customFormat="1" ht="27.75">
      <c r="A63" s="70">
        <v>28</v>
      </c>
      <c r="B63" s="28" t="s">
        <v>9</v>
      </c>
      <c r="C63" s="159" t="s">
        <v>10</v>
      </c>
      <c r="D63" s="159" t="s">
        <v>959</v>
      </c>
      <c r="E63" s="183">
        <f>6475*1.07</f>
        <v>6928.25</v>
      </c>
      <c r="F63" s="101" t="s">
        <v>944</v>
      </c>
      <c r="G63" s="184" t="s">
        <v>960</v>
      </c>
      <c r="H63" s="70">
        <v>1</v>
      </c>
    </row>
    <row r="64" spans="1:9" ht="27.75" customHeight="1">
      <c r="A64" s="76"/>
      <c r="B64" s="81"/>
      <c r="C64" s="77"/>
      <c r="D64" s="167" t="s">
        <v>19</v>
      </c>
      <c r="E64" s="94"/>
      <c r="F64" s="80"/>
      <c r="G64" s="175"/>
      <c r="H64" s="76"/>
      <c r="I64" s="5"/>
    </row>
    <row r="65" spans="1:8" ht="27.75">
      <c r="A65" s="70">
        <v>29</v>
      </c>
      <c r="B65" s="28" t="s">
        <v>54</v>
      </c>
      <c r="C65" s="10" t="s">
        <v>243</v>
      </c>
      <c r="D65" s="66" t="s">
        <v>56</v>
      </c>
      <c r="E65" s="11">
        <f>7500*1.07</f>
        <v>8025.0000000000009</v>
      </c>
      <c r="F65" s="101" t="s">
        <v>944</v>
      </c>
      <c r="G65" s="13" t="s">
        <v>961</v>
      </c>
      <c r="H65" s="70">
        <v>1</v>
      </c>
    </row>
    <row r="66" spans="1:8" ht="27.75">
      <c r="A66" s="76"/>
      <c r="B66" s="71"/>
      <c r="C66" s="72"/>
      <c r="D66" s="169"/>
      <c r="E66" s="104"/>
      <c r="F66" s="76"/>
      <c r="G66" s="170"/>
      <c r="H66" s="76"/>
    </row>
    <row r="67" spans="1:8" ht="27.75">
      <c r="A67" s="70">
        <v>30</v>
      </c>
      <c r="B67" s="133" t="s">
        <v>743</v>
      </c>
      <c r="C67" s="10" t="s">
        <v>962</v>
      </c>
      <c r="D67" s="10" t="s">
        <v>963</v>
      </c>
      <c r="E67" s="11">
        <f>36000*1.07</f>
        <v>38520</v>
      </c>
      <c r="F67" s="101" t="s">
        <v>964</v>
      </c>
      <c r="G67" s="26" t="s">
        <v>965</v>
      </c>
      <c r="H67" s="70">
        <v>1</v>
      </c>
    </row>
    <row r="68" spans="1:8" ht="27.75">
      <c r="A68" s="76"/>
      <c r="B68" s="71"/>
      <c r="C68" s="72"/>
      <c r="D68" s="169" t="s">
        <v>138</v>
      </c>
      <c r="E68" s="206"/>
      <c r="F68" s="76"/>
      <c r="G68" s="170"/>
      <c r="H68" s="76"/>
    </row>
    <row r="69" spans="1:8" s="43" customFormat="1" ht="27.75">
      <c r="A69" s="84"/>
      <c r="B69" s="84"/>
      <c r="C69" s="78"/>
      <c r="D69" s="82"/>
      <c r="E69" s="94"/>
      <c r="F69" s="84"/>
      <c r="G69" s="84"/>
      <c r="H69" s="84"/>
    </row>
    <row r="70" spans="1:8" ht="27.75">
      <c r="A70" s="336" t="s">
        <v>561</v>
      </c>
      <c r="B70" s="338" t="s">
        <v>0</v>
      </c>
      <c r="C70" s="341" t="s">
        <v>1</v>
      </c>
      <c r="D70" s="351" t="s">
        <v>2</v>
      </c>
      <c r="E70" s="336" t="s">
        <v>3</v>
      </c>
      <c r="F70" s="344" t="s">
        <v>4</v>
      </c>
      <c r="G70" s="341"/>
      <c r="H70" s="336" t="s">
        <v>5</v>
      </c>
    </row>
    <row r="71" spans="1:8" ht="58.5" customHeight="1">
      <c r="A71" s="337"/>
      <c r="B71" s="339"/>
      <c r="C71" s="341"/>
      <c r="D71" s="351"/>
      <c r="E71" s="337"/>
      <c r="F71" s="284" t="s">
        <v>6</v>
      </c>
      <c r="G71" s="283" t="s">
        <v>7</v>
      </c>
      <c r="H71" s="337"/>
    </row>
    <row r="72" spans="1:8" ht="27.75">
      <c r="A72" s="70">
        <v>30</v>
      </c>
      <c r="B72" s="190" t="s">
        <v>733</v>
      </c>
      <c r="C72" s="10" t="s">
        <v>734</v>
      </c>
      <c r="D72" s="10" t="s">
        <v>735</v>
      </c>
      <c r="E72" s="221">
        <f>40000*1.07</f>
        <v>42800</v>
      </c>
      <c r="F72" s="101" t="s">
        <v>964</v>
      </c>
      <c r="G72" s="171" t="s">
        <v>966</v>
      </c>
      <c r="H72" s="70">
        <v>1</v>
      </c>
    </row>
    <row r="73" spans="1:8" ht="27.75">
      <c r="A73" s="76"/>
      <c r="B73" s="71"/>
      <c r="C73" s="72"/>
      <c r="D73" s="17"/>
      <c r="E73" s="206"/>
      <c r="F73" s="76"/>
      <c r="G73" s="170"/>
      <c r="H73" s="76"/>
    </row>
    <row r="74" spans="1:8" ht="27.75">
      <c r="A74" s="70">
        <v>31</v>
      </c>
      <c r="B74" s="162" t="s">
        <v>967</v>
      </c>
      <c r="C74" s="159" t="s">
        <v>968</v>
      </c>
      <c r="D74" s="159" t="s">
        <v>969</v>
      </c>
      <c r="E74" s="1">
        <f>7600*1.07</f>
        <v>8132.0000000000009</v>
      </c>
      <c r="F74" s="101" t="s">
        <v>964</v>
      </c>
      <c r="G74" s="171" t="s">
        <v>970</v>
      </c>
      <c r="H74" s="70">
        <v>1</v>
      </c>
    </row>
    <row r="75" spans="1:8" ht="27.75">
      <c r="A75" s="76"/>
      <c r="B75" s="71"/>
      <c r="C75" s="72"/>
      <c r="D75" s="17"/>
      <c r="E75" s="206"/>
      <c r="F75" s="76"/>
      <c r="G75" s="170"/>
      <c r="H75" s="76"/>
    </row>
    <row r="76" spans="1:8" ht="27.75">
      <c r="A76" s="70">
        <v>32</v>
      </c>
      <c r="B76" s="162" t="s">
        <v>971</v>
      </c>
      <c r="C76" s="159" t="s">
        <v>481</v>
      </c>
      <c r="D76" s="159" t="s">
        <v>972</v>
      </c>
      <c r="E76" s="1">
        <f>21500*1.07</f>
        <v>23005</v>
      </c>
      <c r="F76" s="101" t="s">
        <v>964</v>
      </c>
      <c r="G76" s="171" t="s">
        <v>973</v>
      </c>
      <c r="H76" s="70">
        <v>1</v>
      </c>
    </row>
    <row r="77" spans="1:8" ht="27.75">
      <c r="A77" s="76"/>
      <c r="B77" s="71"/>
      <c r="C77" s="72"/>
      <c r="D77" s="17"/>
      <c r="E77" s="104"/>
      <c r="F77" s="76"/>
      <c r="G77" s="170"/>
      <c r="H77" s="76"/>
    </row>
    <row r="78" spans="1:8" ht="27.75">
      <c r="A78" s="70">
        <v>33</v>
      </c>
      <c r="B78" s="162" t="s">
        <v>467</v>
      </c>
      <c r="C78" s="159" t="s">
        <v>468</v>
      </c>
      <c r="D78" s="159" t="s">
        <v>974</v>
      </c>
      <c r="E78" s="1">
        <f>48300*1.07</f>
        <v>51681</v>
      </c>
      <c r="F78" s="101" t="s">
        <v>964</v>
      </c>
      <c r="G78" s="171" t="s">
        <v>975</v>
      </c>
      <c r="H78" s="70">
        <v>1</v>
      </c>
    </row>
    <row r="79" spans="1:8" ht="27.75">
      <c r="A79" s="76"/>
      <c r="B79" s="71"/>
      <c r="C79" s="72"/>
      <c r="D79" s="72"/>
      <c r="E79" s="104"/>
      <c r="F79" s="76"/>
      <c r="G79" s="170"/>
      <c r="H79" s="76"/>
    </row>
    <row r="80" spans="1:8" ht="27.75">
      <c r="A80" s="70">
        <v>34</v>
      </c>
      <c r="B80" s="24" t="s">
        <v>141</v>
      </c>
      <c r="C80" s="10" t="s">
        <v>142</v>
      </c>
      <c r="D80" s="10" t="s">
        <v>976</v>
      </c>
      <c r="E80" s="11">
        <f>5500*1.07</f>
        <v>5885</v>
      </c>
      <c r="F80" s="101" t="s">
        <v>964</v>
      </c>
      <c r="G80" s="13" t="s">
        <v>977</v>
      </c>
      <c r="H80" s="70">
        <v>1</v>
      </c>
    </row>
    <row r="81" spans="1:9" ht="27.75">
      <c r="A81" s="76"/>
      <c r="B81" s="71"/>
      <c r="C81" s="72"/>
      <c r="D81" s="169"/>
      <c r="E81" s="104"/>
      <c r="F81" s="76"/>
      <c r="G81" s="170"/>
      <c r="H81" s="76"/>
    </row>
    <row r="82" spans="1:9" ht="27.75">
      <c r="A82" s="70">
        <v>35</v>
      </c>
      <c r="B82" s="22" t="s">
        <v>58</v>
      </c>
      <c r="C82" s="159" t="s">
        <v>270</v>
      </c>
      <c r="D82" s="159" t="s">
        <v>978</v>
      </c>
      <c r="E82" s="219">
        <f>740*1.07</f>
        <v>791.80000000000007</v>
      </c>
      <c r="F82" s="116" t="s">
        <v>964</v>
      </c>
      <c r="G82" s="171" t="s">
        <v>979</v>
      </c>
      <c r="H82" s="70">
        <v>1</v>
      </c>
    </row>
    <row r="83" spans="1:9" ht="27.75">
      <c r="A83" s="76"/>
      <c r="B83" s="71"/>
      <c r="C83" s="72"/>
      <c r="D83" s="169"/>
      <c r="E83" s="104"/>
      <c r="F83" s="76"/>
      <c r="G83" s="170"/>
      <c r="H83" s="76"/>
    </row>
    <row r="84" spans="1:9" ht="27.75">
      <c r="A84" s="70">
        <v>36</v>
      </c>
      <c r="B84" s="70" t="s">
        <v>183</v>
      </c>
      <c r="C84" s="159" t="s">
        <v>184</v>
      </c>
      <c r="D84" s="159" t="s">
        <v>980</v>
      </c>
      <c r="E84" s="1">
        <f>5688*1.07</f>
        <v>6086.1600000000008</v>
      </c>
      <c r="F84" s="101" t="s">
        <v>964</v>
      </c>
      <c r="G84" s="171" t="s">
        <v>981</v>
      </c>
      <c r="H84" s="70">
        <v>1</v>
      </c>
    </row>
    <row r="85" spans="1:9" ht="27.75">
      <c r="A85" s="76"/>
      <c r="B85" s="81"/>
      <c r="C85" s="77"/>
      <c r="D85" s="159"/>
      <c r="E85" s="94"/>
      <c r="F85" s="80"/>
      <c r="G85" s="175"/>
      <c r="H85" s="76"/>
    </row>
    <row r="86" spans="1:9" ht="27.75">
      <c r="A86" s="70">
        <v>37</v>
      </c>
      <c r="B86" s="36" t="s">
        <v>14</v>
      </c>
      <c r="C86" s="10" t="s">
        <v>15</v>
      </c>
      <c r="D86" s="10" t="s">
        <v>982</v>
      </c>
      <c r="E86" s="11">
        <f>28220*1.07</f>
        <v>30195.4</v>
      </c>
      <c r="F86" s="101" t="s">
        <v>964</v>
      </c>
      <c r="G86" s="13" t="s">
        <v>983</v>
      </c>
      <c r="H86" s="70">
        <v>1</v>
      </c>
    </row>
    <row r="87" spans="1:9" ht="27.75">
      <c r="A87" s="76"/>
      <c r="B87" s="71"/>
      <c r="C87" s="72"/>
      <c r="D87" s="169" t="s">
        <v>984</v>
      </c>
      <c r="E87" s="104"/>
      <c r="F87" s="76"/>
      <c r="G87" s="170"/>
      <c r="H87" s="76"/>
    </row>
    <row r="88" spans="1:9" ht="27.75">
      <c r="A88" s="70">
        <v>38</v>
      </c>
      <c r="B88" s="162" t="s">
        <v>985</v>
      </c>
      <c r="C88" s="159" t="s">
        <v>1499</v>
      </c>
      <c r="D88" s="159" t="s">
        <v>986</v>
      </c>
      <c r="E88" s="1">
        <f>55350*1.07</f>
        <v>59224.5</v>
      </c>
      <c r="F88" s="116" t="s">
        <v>987</v>
      </c>
      <c r="G88" s="171" t="s">
        <v>988</v>
      </c>
      <c r="H88" s="70">
        <v>1</v>
      </c>
    </row>
    <row r="89" spans="1:9" ht="27.75">
      <c r="A89" s="76"/>
      <c r="B89" s="178"/>
      <c r="C89" s="77" t="s">
        <v>44</v>
      </c>
      <c r="D89" s="222" t="s">
        <v>989</v>
      </c>
      <c r="E89" s="112"/>
      <c r="F89" s="220"/>
      <c r="G89" s="175"/>
      <c r="H89" s="76"/>
    </row>
    <row r="90" spans="1:9" ht="27.75">
      <c r="A90" s="70">
        <v>39</v>
      </c>
      <c r="B90" s="110" t="s">
        <v>124</v>
      </c>
      <c r="C90" s="10" t="s">
        <v>290</v>
      </c>
      <c r="D90" s="10" t="s">
        <v>990</v>
      </c>
      <c r="E90" s="11">
        <f>79200*1.07</f>
        <v>84744</v>
      </c>
      <c r="F90" s="101" t="s">
        <v>987</v>
      </c>
      <c r="G90" s="13" t="s">
        <v>991</v>
      </c>
      <c r="H90" s="70">
        <v>1</v>
      </c>
      <c r="I90" s="3" t="s">
        <v>560</v>
      </c>
    </row>
    <row r="91" spans="1:9" ht="27.75">
      <c r="A91" s="76"/>
      <c r="B91" s="71"/>
      <c r="C91" s="72"/>
      <c r="D91" s="169"/>
      <c r="E91" s="104"/>
      <c r="F91" s="76"/>
      <c r="G91" s="170"/>
      <c r="H91" s="76"/>
    </row>
    <row r="92" spans="1:9" ht="27.75">
      <c r="A92" s="70">
        <v>40</v>
      </c>
      <c r="B92" s="119" t="s">
        <v>508</v>
      </c>
      <c r="C92" s="159" t="s">
        <v>509</v>
      </c>
      <c r="D92" s="159" t="s">
        <v>992</v>
      </c>
      <c r="E92" s="1">
        <f>93220*1.07</f>
        <v>99745.400000000009</v>
      </c>
      <c r="F92" s="101" t="s">
        <v>987</v>
      </c>
      <c r="G92" s="134" t="s">
        <v>993</v>
      </c>
      <c r="H92" s="70">
        <v>1</v>
      </c>
    </row>
    <row r="93" spans="1:9" ht="27.75">
      <c r="A93" s="76"/>
      <c r="B93" s="81"/>
      <c r="C93" s="77"/>
      <c r="D93" s="167" t="s">
        <v>226</v>
      </c>
      <c r="E93" s="94"/>
      <c r="F93" s="76"/>
      <c r="G93" s="76"/>
      <c r="H93" s="76"/>
    </row>
    <row r="94" spans="1:9" s="43" customFormat="1" ht="27.75">
      <c r="A94" s="70">
        <v>41</v>
      </c>
      <c r="B94" s="185" t="s">
        <v>994</v>
      </c>
      <c r="C94" s="10" t="s">
        <v>995</v>
      </c>
      <c r="D94" s="10" t="s">
        <v>1913</v>
      </c>
      <c r="E94" s="205">
        <f>8239+117700</f>
        <v>125939</v>
      </c>
      <c r="F94" s="101" t="s">
        <v>987</v>
      </c>
      <c r="G94" s="157" t="s">
        <v>996</v>
      </c>
      <c r="H94" s="70">
        <v>1</v>
      </c>
    </row>
    <row r="95" spans="1:9" ht="27.75" customHeight="1">
      <c r="A95" s="76"/>
      <c r="B95" s="71"/>
      <c r="C95" s="72"/>
      <c r="D95" s="72"/>
      <c r="E95" s="206"/>
      <c r="F95" s="76"/>
      <c r="G95" s="76"/>
      <c r="H95" s="76"/>
    </row>
    <row r="96" spans="1:9" ht="27.75">
      <c r="A96" s="70">
        <v>42</v>
      </c>
      <c r="B96" s="162" t="s">
        <v>997</v>
      </c>
      <c r="C96" s="10" t="s">
        <v>998</v>
      </c>
      <c r="D96" s="10" t="s">
        <v>999</v>
      </c>
      <c r="E96" s="11">
        <f>9500*1.07</f>
        <v>10165</v>
      </c>
      <c r="F96" s="101" t="s">
        <v>1000</v>
      </c>
      <c r="G96" s="13" t="s">
        <v>1001</v>
      </c>
      <c r="H96" s="70">
        <v>1</v>
      </c>
    </row>
    <row r="97" spans="1:8" ht="27.75">
      <c r="A97" s="76"/>
      <c r="B97" s="137"/>
      <c r="C97" s="77"/>
      <c r="D97" s="159" t="s">
        <v>1002</v>
      </c>
      <c r="E97" s="94"/>
      <c r="F97" s="80"/>
      <c r="G97" s="175"/>
      <c r="H97" s="80"/>
    </row>
    <row r="98" spans="1:8" ht="27.75">
      <c r="A98" s="70">
        <v>43</v>
      </c>
      <c r="B98" s="28" t="s">
        <v>54</v>
      </c>
      <c r="C98" s="10" t="s">
        <v>55</v>
      </c>
      <c r="D98" s="172" t="s">
        <v>1003</v>
      </c>
      <c r="E98" s="11">
        <f>13594*1.07</f>
        <v>14545.580000000002</v>
      </c>
      <c r="F98" s="101" t="s">
        <v>1000</v>
      </c>
      <c r="G98" s="13" t="s">
        <v>1004</v>
      </c>
      <c r="H98" s="70">
        <v>1</v>
      </c>
    </row>
    <row r="99" spans="1:8" ht="27.75">
      <c r="A99" s="76"/>
      <c r="B99" s="71"/>
      <c r="C99" s="72"/>
      <c r="D99" s="169" t="s">
        <v>138</v>
      </c>
      <c r="E99" s="104"/>
      <c r="F99" s="76"/>
      <c r="G99" s="170"/>
      <c r="H99" s="170"/>
    </row>
    <row r="100" spans="1:8" ht="27.75">
      <c r="A100" s="70">
        <v>44</v>
      </c>
      <c r="B100" s="122" t="s">
        <v>54</v>
      </c>
      <c r="C100" s="10" t="s">
        <v>243</v>
      </c>
      <c r="D100" s="152" t="s">
        <v>1005</v>
      </c>
      <c r="E100" s="151">
        <f>5922*1.07</f>
        <v>6336.54</v>
      </c>
      <c r="F100" s="101" t="s">
        <v>1000</v>
      </c>
      <c r="G100" s="13" t="s">
        <v>1006</v>
      </c>
      <c r="H100" s="181">
        <v>1</v>
      </c>
    </row>
    <row r="101" spans="1:8" ht="27.75">
      <c r="A101" s="76"/>
      <c r="B101" s="71"/>
      <c r="C101" s="72"/>
      <c r="D101" s="89"/>
      <c r="E101" s="74"/>
      <c r="F101" s="76"/>
      <c r="G101" s="170"/>
      <c r="H101" s="170"/>
    </row>
    <row r="102" spans="1:8" ht="27.75">
      <c r="A102" s="84"/>
      <c r="B102" s="84"/>
      <c r="C102" s="78"/>
      <c r="D102" s="82"/>
      <c r="E102" s="94"/>
      <c r="F102" s="84"/>
      <c r="G102" s="84"/>
      <c r="H102" s="84"/>
    </row>
    <row r="103" spans="1:8" ht="27.75">
      <c r="A103" s="84"/>
      <c r="B103" s="84"/>
      <c r="C103" s="78"/>
      <c r="D103" s="82"/>
      <c r="E103" s="94"/>
      <c r="F103" s="84"/>
      <c r="G103" s="84"/>
      <c r="H103" s="84"/>
    </row>
    <row r="104" spans="1:8" s="43" customFormat="1" ht="27.75">
      <c r="A104" s="84"/>
      <c r="B104" s="84"/>
      <c r="C104" s="78"/>
      <c r="D104" s="82"/>
      <c r="E104" s="94"/>
      <c r="F104" s="84"/>
      <c r="G104" s="84"/>
      <c r="H104" s="84"/>
    </row>
    <row r="105" spans="1:8" ht="27.75">
      <c r="A105" s="336" t="s">
        <v>561</v>
      </c>
      <c r="B105" s="338" t="s">
        <v>0</v>
      </c>
      <c r="C105" s="341" t="s">
        <v>1</v>
      </c>
      <c r="D105" s="351" t="s">
        <v>2</v>
      </c>
      <c r="E105" s="336" t="s">
        <v>3</v>
      </c>
      <c r="F105" s="344" t="s">
        <v>4</v>
      </c>
      <c r="G105" s="341"/>
      <c r="H105" s="336" t="s">
        <v>5</v>
      </c>
    </row>
    <row r="106" spans="1:8" ht="55.5" customHeight="1">
      <c r="A106" s="337"/>
      <c r="B106" s="339"/>
      <c r="C106" s="341"/>
      <c r="D106" s="351"/>
      <c r="E106" s="337"/>
      <c r="F106" s="284" t="s">
        <v>6</v>
      </c>
      <c r="G106" s="283" t="s">
        <v>7</v>
      </c>
      <c r="H106" s="337"/>
    </row>
    <row r="107" spans="1:8" ht="27.75">
      <c r="A107" s="70">
        <v>45</v>
      </c>
      <c r="B107" s="129" t="s">
        <v>14</v>
      </c>
      <c r="C107" s="159" t="s">
        <v>15</v>
      </c>
      <c r="D107" s="2" t="s">
        <v>1007</v>
      </c>
      <c r="E107" s="155">
        <f>1390*1.07</f>
        <v>1487.3000000000002</v>
      </c>
      <c r="F107" s="101" t="s">
        <v>1000</v>
      </c>
      <c r="G107" s="184" t="s">
        <v>1008</v>
      </c>
      <c r="H107" s="181">
        <v>1</v>
      </c>
    </row>
    <row r="108" spans="1:8" ht="27.75">
      <c r="A108" s="76"/>
      <c r="B108" s="71"/>
      <c r="C108" s="72"/>
      <c r="D108" s="73"/>
      <c r="E108" s="74"/>
      <c r="F108" s="76"/>
      <c r="G108" s="170"/>
      <c r="H108" s="170"/>
    </row>
    <row r="109" spans="1:8" ht="27.75">
      <c r="A109" s="70">
        <v>46</v>
      </c>
      <c r="B109" s="129" t="s">
        <v>14</v>
      </c>
      <c r="C109" s="159" t="s">
        <v>62</v>
      </c>
      <c r="D109" s="2" t="s">
        <v>1009</v>
      </c>
      <c r="E109" s="155">
        <f>54800*1.07</f>
        <v>58636</v>
      </c>
      <c r="F109" s="101" t="s">
        <v>1000</v>
      </c>
      <c r="G109" s="184" t="s">
        <v>1010</v>
      </c>
      <c r="H109" s="181">
        <v>1</v>
      </c>
    </row>
    <row r="110" spans="1:8" ht="27.75">
      <c r="A110" s="76"/>
      <c r="B110" s="71"/>
      <c r="C110" s="72"/>
      <c r="D110" s="73"/>
      <c r="E110" s="74"/>
      <c r="F110" s="76"/>
      <c r="G110" s="170"/>
      <c r="H110" s="170"/>
    </row>
    <row r="111" spans="1:8" ht="27.75">
      <c r="A111" s="70">
        <v>47</v>
      </c>
      <c r="B111" s="162" t="s">
        <v>1011</v>
      </c>
      <c r="C111" s="159" t="s">
        <v>1012</v>
      </c>
      <c r="D111" s="2" t="s">
        <v>1013</v>
      </c>
      <c r="E111" s="155">
        <f>75240*1.07</f>
        <v>80506.8</v>
      </c>
      <c r="F111" s="101" t="s">
        <v>1000</v>
      </c>
      <c r="G111" s="184" t="s">
        <v>1014</v>
      </c>
      <c r="H111" s="181">
        <v>1</v>
      </c>
    </row>
    <row r="112" spans="1:8" ht="27.75">
      <c r="A112" s="76"/>
      <c r="B112" s="71"/>
      <c r="C112" s="72"/>
      <c r="D112" s="223" t="s">
        <v>1015</v>
      </c>
      <c r="E112" s="74"/>
      <c r="F112" s="76"/>
      <c r="G112" s="170"/>
      <c r="H112" s="170"/>
    </row>
    <row r="113" spans="1:9" ht="27.75">
      <c r="A113" s="70">
        <v>48</v>
      </c>
      <c r="B113" s="122" t="s">
        <v>54</v>
      </c>
      <c r="C113" s="182" t="s">
        <v>55</v>
      </c>
      <c r="D113" s="10" t="s">
        <v>1016</v>
      </c>
      <c r="E113" s="224">
        <f>5677*1.07</f>
        <v>6074.39</v>
      </c>
      <c r="F113" s="101" t="s">
        <v>1000</v>
      </c>
      <c r="G113" s="184" t="s">
        <v>1017</v>
      </c>
      <c r="H113" s="181">
        <v>1</v>
      </c>
    </row>
    <row r="114" spans="1:9" ht="27.75">
      <c r="A114" s="76"/>
      <c r="B114" s="71"/>
      <c r="C114" s="115"/>
      <c r="D114" s="169" t="s">
        <v>349</v>
      </c>
      <c r="E114" s="206"/>
      <c r="F114" s="76"/>
      <c r="G114" s="170"/>
      <c r="H114" s="170"/>
    </row>
    <row r="115" spans="1:9" ht="27.75">
      <c r="A115" s="70">
        <v>49</v>
      </c>
      <c r="B115" s="28" t="s">
        <v>9</v>
      </c>
      <c r="C115" s="180" t="s">
        <v>50</v>
      </c>
      <c r="D115" s="10" t="s">
        <v>1018</v>
      </c>
      <c r="E115" s="11">
        <f>8750*1.07</f>
        <v>9362.5</v>
      </c>
      <c r="F115" s="101" t="s">
        <v>1019</v>
      </c>
      <c r="G115" s="13" t="s">
        <v>1020</v>
      </c>
      <c r="H115" s="181">
        <v>1</v>
      </c>
    </row>
    <row r="116" spans="1:9" ht="27.75">
      <c r="A116" s="76"/>
      <c r="B116" s="81"/>
      <c r="C116" s="111"/>
      <c r="D116" s="167" t="s">
        <v>353</v>
      </c>
      <c r="E116" s="94"/>
      <c r="F116" s="80"/>
      <c r="G116" s="175"/>
      <c r="H116" s="175"/>
    </row>
    <row r="117" spans="1:9" ht="27.75">
      <c r="A117" s="70">
        <v>50</v>
      </c>
      <c r="B117" s="28" t="s">
        <v>9</v>
      </c>
      <c r="C117" s="180" t="s">
        <v>50</v>
      </c>
      <c r="D117" s="10" t="s">
        <v>1021</v>
      </c>
      <c r="E117" s="11">
        <f>2800*1.07</f>
        <v>2996</v>
      </c>
      <c r="F117" s="101" t="s">
        <v>1019</v>
      </c>
      <c r="G117" s="13" t="s">
        <v>1022</v>
      </c>
      <c r="H117" s="181">
        <v>1</v>
      </c>
    </row>
    <row r="118" spans="1:9" ht="27.75">
      <c r="A118" s="76"/>
      <c r="B118" s="71"/>
      <c r="C118" s="115"/>
      <c r="D118" s="169" t="s">
        <v>138</v>
      </c>
      <c r="E118" s="104"/>
      <c r="F118" s="76"/>
      <c r="G118" s="170"/>
      <c r="H118" s="170"/>
    </row>
    <row r="119" spans="1:9" ht="27.75">
      <c r="A119" s="70">
        <v>51</v>
      </c>
      <c r="B119" s="162" t="s">
        <v>1023</v>
      </c>
      <c r="C119" s="182" t="s">
        <v>1024</v>
      </c>
      <c r="D119" s="159" t="s">
        <v>1025</v>
      </c>
      <c r="E119" s="183">
        <f>21500*1.07</f>
        <v>23005</v>
      </c>
      <c r="F119" s="101" t="s">
        <v>1019</v>
      </c>
      <c r="G119" s="184" t="s">
        <v>1026</v>
      </c>
      <c r="H119" s="181">
        <v>1</v>
      </c>
    </row>
    <row r="120" spans="1:9" ht="27.75">
      <c r="A120" s="76"/>
      <c r="B120" s="71"/>
      <c r="C120" s="115"/>
      <c r="D120" s="72"/>
      <c r="E120" s="104"/>
      <c r="F120" s="76"/>
      <c r="G120" s="170"/>
      <c r="H120" s="170"/>
    </row>
    <row r="121" spans="1:9" ht="27.75">
      <c r="A121" s="70">
        <v>52</v>
      </c>
      <c r="B121" s="162" t="s">
        <v>1027</v>
      </c>
      <c r="C121" s="182" t="s">
        <v>1028</v>
      </c>
      <c r="D121" s="159" t="s">
        <v>1029</v>
      </c>
      <c r="E121" s="183">
        <f>6000*1.07</f>
        <v>6420</v>
      </c>
      <c r="F121" s="101" t="s">
        <v>1030</v>
      </c>
      <c r="G121" s="184" t="s">
        <v>1031</v>
      </c>
      <c r="H121" s="181">
        <v>1</v>
      </c>
    </row>
    <row r="122" spans="1:9" ht="27.75">
      <c r="A122" s="76"/>
      <c r="B122" s="71"/>
      <c r="C122" s="115"/>
      <c r="D122" s="188"/>
      <c r="E122" s="104"/>
      <c r="F122" s="76"/>
      <c r="G122" s="170"/>
      <c r="H122" s="170"/>
    </row>
    <row r="123" spans="1:9" ht="27.75">
      <c r="A123" s="70">
        <v>53</v>
      </c>
      <c r="B123" s="162" t="s">
        <v>1032</v>
      </c>
      <c r="C123" s="182" t="s">
        <v>1033</v>
      </c>
      <c r="D123" s="159" t="s">
        <v>1034</v>
      </c>
      <c r="E123" s="183">
        <f>67620*1.07</f>
        <v>72353.400000000009</v>
      </c>
      <c r="F123" s="101" t="s">
        <v>1030</v>
      </c>
      <c r="G123" s="184" t="s">
        <v>1035</v>
      </c>
      <c r="H123" s="175">
        <v>1</v>
      </c>
    </row>
    <row r="124" spans="1:9" ht="27.75">
      <c r="A124" s="76"/>
      <c r="B124" s="71"/>
      <c r="C124" s="115"/>
      <c r="D124" s="169" t="s">
        <v>138</v>
      </c>
      <c r="E124" s="104"/>
      <c r="F124" s="76"/>
      <c r="G124" s="170"/>
      <c r="H124" s="170"/>
    </row>
    <row r="125" spans="1:9" ht="27.75">
      <c r="A125" s="70">
        <v>54</v>
      </c>
      <c r="B125" s="4" t="s">
        <v>1036</v>
      </c>
      <c r="C125" s="182" t="s">
        <v>587</v>
      </c>
      <c r="D125" s="159" t="s">
        <v>1037</v>
      </c>
      <c r="E125" s="183">
        <f>54000*1.07</f>
        <v>57780</v>
      </c>
      <c r="F125" s="101" t="s">
        <v>1030</v>
      </c>
      <c r="G125" s="184" t="s">
        <v>1038</v>
      </c>
      <c r="H125" s="181">
        <v>1</v>
      </c>
    </row>
    <row r="126" spans="1:9" ht="27.75">
      <c r="A126" s="76"/>
      <c r="B126" s="225"/>
      <c r="C126" s="115"/>
      <c r="D126" s="169" t="s">
        <v>138</v>
      </c>
      <c r="E126" s="104"/>
      <c r="F126" s="76"/>
      <c r="G126" s="170"/>
      <c r="H126" s="170"/>
    </row>
    <row r="127" spans="1:9" s="43" customFormat="1" ht="27.75">
      <c r="A127" s="70">
        <v>55</v>
      </c>
      <c r="B127" s="122" t="s">
        <v>54</v>
      </c>
      <c r="C127" s="182" t="s">
        <v>55</v>
      </c>
      <c r="D127" s="186" t="s">
        <v>1039</v>
      </c>
      <c r="E127" s="183">
        <f>1500*1.07</f>
        <v>1605</v>
      </c>
      <c r="F127" s="101" t="s">
        <v>1030</v>
      </c>
      <c r="G127" s="184" t="s">
        <v>1040</v>
      </c>
      <c r="H127" s="181">
        <v>1</v>
      </c>
    </row>
    <row r="128" spans="1:9" ht="27.75" customHeight="1">
      <c r="A128" s="76"/>
      <c r="B128" s="71"/>
      <c r="C128" s="115"/>
      <c r="D128" s="169"/>
      <c r="E128" s="104"/>
      <c r="F128" s="76"/>
      <c r="G128" s="170"/>
      <c r="H128" s="170"/>
      <c r="I128" s="5"/>
    </row>
    <row r="129" spans="1:8" ht="27.75">
      <c r="A129" s="70">
        <v>56</v>
      </c>
      <c r="B129" s="70" t="s">
        <v>1041</v>
      </c>
      <c r="C129" s="180" t="s">
        <v>184</v>
      </c>
      <c r="D129" s="172" t="s">
        <v>1042</v>
      </c>
      <c r="E129" s="11">
        <f>7020*1.07</f>
        <v>7511.4000000000005</v>
      </c>
      <c r="F129" s="101" t="s">
        <v>1030</v>
      </c>
      <c r="G129" s="184" t="s">
        <v>1043</v>
      </c>
      <c r="H129" s="181">
        <v>1</v>
      </c>
    </row>
    <row r="130" spans="1:8" ht="27.75">
      <c r="A130" s="76"/>
      <c r="B130" s="71"/>
      <c r="C130" s="115"/>
      <c r="D130" s="17"/>
      <c r="E130" s="104"/>
      <c r="F130" s="76"/>
      <c r="G130" s="170"/>
      <c r="H130" s="170"/>
    </row>
    <row r="131" spans="1:8" ht="27.75">
      <c r="A131" s="70">
        <v>57</v>
      </c>
      <c r="B131" s="226" t="s">
        <v>54</v>
      </c>
      <c r="C131" s="182" t="s">
        <v>55</v>
      </c>
      <c r="D131" s="159" t="s">
        <v>1044</v>
      </c>
      <c r="E131" s="183">
        <f>11217*1.07</f>
        <v>12002.19</v>
      </c>
      <c r="F131" s="116" t="s">
        <v>1030</v>
      </c>
      <c r="G131" s="184" t="s">
        <v>1045</v>
      </c>
      <c r="H131" s="181">
        <v>1</v>
      </c>
    </row>
    <row r="132" spans="1:8" ht="27.75">
      <c r="A132" s="76"/>
      <c r="B132" s="81"/>
      <c r="C132" s="111"/>
      <c r="D132" s="167" t="s">
        <v>138</v>
      </c>
      <c r="E132" s="94"/>
      <c r="F132" s="80"/>
      <c r="G132" s="175"/>
      <c r="H132" s="175"/>
    </row>
    <row r="133" spans="1:8" ht="27.75">
      <c r="A133" s="70">
        <v>58</v>
      </c>
      <c r="B133" s="28" t="s">
        <v>9</v>
      </c>
      <c r="C133" s="180" t="s">
        <v>50</v>
      </c>
      <c r="D133" s="10" t="s">
        <v>1046</v>
      </c>
      <c r="E133" s="11">
        <f>2660*1.07</f>
        <v>2846.2000000000003</v>
      </c>
      <c r="F133" s="101" t="s">
        <v>1030</v>
      </c>
      <c r="G133" s="13" t="s">
        <v>1047</v>
      </c>
      <c r="H133" s="181">
        <v>1</v>
      </c>
    </row>
    <row r="134" spans="1:8" ht="27.75">
      <c r="A134" s="76"/>
      <c r="B134" s="71"/>
      <c r="C134" s="115"/>
      <c r="D134" s="169" t="s">
        <v>138</v>
      </c>
      <c r="E134" s="104"/>
      <c r="F134" s="76"/>
      <c r="G134" s="170"/>
      <c r="H134" s="170"/>
    </row>
    <row r="135" spans="1:8" ht="27.75">
      <c r="A135" s="70">
        <v>59</v>
      </c>
      <c r="B135" s="171" t="s">
        <v>488</v>
      </c>
      <c r="C135" s="180" t="s">
        <v>1048</v>
      </c>
      <c r="D135" s="159" t="s">
        <v>1049</v>
      </c>
      <c r="E135" s="1">
        <f>17121.6*1.07</f>
        <v>18320.112000000001</v>
      </c>
      <c r="F135" s="101" t="s">
        <v>1030</v>
      </c>
      <c r="G135" s="171" t="s">
        <v>1050</v>
      </c>
      <c r="H135" s="70">
        <v>1</v>
      </c>
    </row>
    <row r="136" spans="1:8" ht="27.75">
      <c r="A136" s="76"/>
      <c r="B136" s="71"/>
      <c r="C136" s="115"/>
      <c r="D136" s="169" t="s">
        <v>207</v>
      </c>
      <c r="E136" s="104"/>
      <c r="F136" s="76"/>
      <c r="G136" s="75"/>
      <c r="H136" s="76"/>
    </row>
    <row r="137" spans="1:8" ht="27.75">
      <c r="A137" s="70">
        <v>60</v>
      </c>
      <c r="B137" s="105" t="s">
        <v>100</v>
      </c>
      <c r="C137" s="180" t="s">
        <v>663</v>
      </c>
      <c r="D137" s="10" t="s">
        <v>817</v>
      </c>
      <c r="E137" s="11">
        <f>80000*1.07</f>
        <v>85600</v>
      </c>
      <c r="F137" s="101" t="s">
        <v>1051</v>
      </c>
      <c r="G137" s="26" t="s">
        <v>1052</v>
      </c>
      <c r="H137" s="70">
        <v>1</v>
      </c>
    </row>
    <row r="138" spans="1:8" ht="27.75">
      <c r="A138" s="76"/>
      <c r="B138" s="71"/>
      <c r="C138" s="201"/>
      <c r="D138" s="121"/>
      <c r="E138" s="104"/>
      <c r="F138" s="76"/>
      <c r="G138" s="75"/>
      <c r="H138" s="76"/>
    </row>
    <row r="139" spans="1:8" s="43" customFormat="1" ht="27.75">
      <c r="A139" s="84"/>
      <c r="B139" s="84"/>
      <c r="C139" s="128"/>
      <c r="D139" s="128"/>
      <c r="E139" s="94"/>
      <c r="F139" s="84"/>
      <c r="G139" s="84"/>
      <c r="H139" s="84"/>
    </row>
    <row r="140" spans="1:8" ht="31.5" customHeight="1">
      <c r="A140" s="336" t="s">
        <v>561</v>
      </c>
      <c r="B140" s="338" t="s">
        <v>0</v>
      </c>
      <c r="C140" s="340" t="s">
        <v>1</v>
      </c>
      <c r="D140" s="341" t="s">
        <v>2</v>
      </c>
      <c r="E140" s="342" t="s">
        <v>3</v>
      </c>
      <c r="F140" s="344" t="s">
        <v>4</v>
      </c>
      <c r="G140" s="341"/>
      <c r="H140" s="336" t="s">
        <v>5</v>
      </c>
    </row>
    <row r="141" spans="1:8" ht="50.25" customHeight="1">
      <c r="A141" s="337"/>
      <c r="B141" s="339"/>
      <c r="C141" s="340"/>
      <c r="D141" s="341"/>
      <c r="E141" s="343"/>
      <c r="F141" s="284" t="s">
        <v>6</v>
      </c>
      <c r="G141" s="283" t="s">
        <v>7</v>
      </c>
      <c r="H141" s="337"/>
    </row>
    <row r="142" spans="1:8" ht="27.75">
      <c r="A142" s="70">
        <v>61</v>
      </c>
      <c r="B142" s="129" t="s">
        <v>14</v>
      </c>
      <c r="C142" s="180" t="s">
        <v>62</v>
      </c>
      <c r="D142" s="10" t="s">
        <v>1053</v>
      </c>
      <c r="E142" s="11">
        <f>2520*1.07</f>
        <v>2696.4</v>
      </c>
      <c r="F142" s="101" t="s">
        <v>1054</v>
      </c>
      <c r="G142" s="13" t="s">
        <v>1055</v>
      </c>
      <c r="H142" s="70">
        <v>1</v>
      </c>
    </row>
    <row r="143" spans="1:8" ht="27.75">
      <c r="A143" s="76"/>
      <c r="B143" s="227"/>
      <c r="C143" s="201"/>
      <c r="D143" s="169" t="s">
        <v>226</v>
      </c>
      <c r="E143" s="104"/>
      <c r="F143" s="76"/>
      <c r="G143" s="170"/>
      <c r="H143" s="76"/>
    </row>
    <row r="144" spans="1:8" ht="27.75">
      <c r="A144" s="70">
        <v>62</v>
      </c>
      <c r="B144" s="228" t="s">
        <v>805</v>
      </c>
      <c r="C144" s="182" t="s">
        <v>806</v>
      </c>
      <c r="D144" s="159" t="s">
        <v>1056</v>
      </c>
      <c r="E144" s="183">
        <f>61500*1.07</f>
        <v>65805</v>
      </c>
      <c r="F144" s="101" t="s">
        <v>1054</v>
      </c>
      <c r="G144" s="184" t="s">
        <v>1057</v>
      </c>
      <c r="H144" s="70">
        <v>1</v>
      </c>
    </row>
    <row r="145" spans="1:9" ht="27.75">
      <c r="A145" s="76"/>
      <c r="B145" s="71"/>
      <c r="C145" s="201"/>
      <c r="D145" s="169"/>
      <c r="E145" s="104"/>
      <c r="F145" s="76"/>
      <c r="G145" s="170"/>
      <c r="H145" s="76"/>
    </row>
    <row r="146" spans="1:9" ht="27.75">
      <c r="A146" s="70">
        <v>63</v>
      </c>
      <c r="B146" s="229" t="s">
        <v>124</v>
      </c>
      <c r="C146" s="182" t="s">
        <v>1058</v>
      </c>
      <c r="D146" s="159" t="s">
        <v>1059</v>
      </c>
      <c r="E146" s="183">
        <f>39400*1.07</f>
        <v>42158</v>
      </c>
      <c r="F146" s="101" t="s">
        <v>1054</v>
      </c>
      <c r="G146" s="184" t="s">
        <v>1060</v>
      </c>
      <c r="H146" s="70">
        <v>1</v>
      </c>
    </row>
    <row r="147" spans="1:9" ht="27.75">
      <c r="A147" s="76"/>
      <c r="B147" s="71"/>
      <c r="C147" s="201"/>
      <c r="D147" s="169"/>
      <c r="E147" s="104"/>
      <c r="F147" s="76"/>
      <c r="G147" s="170"/>
      <c r="H147" s="76"/>
    </row>
    <row r="148" spans="1:9" ht="27.75">
      <c r="A148" s="70">
        <v>64</v>
      </c>
      <c r="B148" s="228" t="s">
        <v>1061</v>
      </c>
      <c r="C148" s="182" t="s">
        <v>517</v>
      </c>
      <c r="D148" s="159" t="s">
        <v>1062</v>
      </c>
      <c r="E148" s="183">
        <f>13000*1.07</f>
        <v>13910</v>
      </c>
      <c r="F148" s="101" t="s">
        <v>1054</v>
      </c>
      <c r="G148" s="184" t="s">
        <v>1063</v>
      </c>
      <c r="H148" s="70">
        <v>1</v>
      </c>
    </row>
    <row r="149" spans="1:9" ht="27.75">
      <c r="A149" s="76"/>
      <c r="B149" s="71"/>
      <c r="C149" s="201"/>
      <c r="D149" s="121"/>
      <c r="E149" s="104"/>
      <c r="F149" s="76"/>
      <c r="G149" s="170"/>
      <c r="H149" s="76"/>
    </row>
    <row r="150" spans="1:9" ht="27.75">
      <c r="A150" s="70">
        <v>65</v>
      </c>
      <c r="B150" s="28" t="s">
        <v>9</v>
      </c>
      <c r="C150" s="182" t="s">
        <v>50</v>
      </c>
      <c r="D150" s="159" t="s">
        <v>1064</v>
      </c>
      <c r="E150" s="183">
        <f>1720*1.07</f>
        <v>1840.4</v>
      </c>
      <c r="F150" s="101" t="s">
        <v>1054</v>
      </c>
      <c r="G150" s="184" t="s">
        <v>1065</v>
      </c>
      <c r="H150" s="70">
        <v>1</v>
      </c>
    </row>
    <row r="151" spans="1:9" ht="27.75">
      <c r="A151" s="76"/>
      <c r="B151" s="71"/>
      <c r="C151" s="230"/>
      <c r="D151" s="169"/>
      <c r="E151" s="104"/>
      <c r="F151" s="76"/>
      <c r="G151" s="170"/>
      <c r="H151" s="76"/>
    </row>
    <row r="152" spans="1:9" ht="27.75">
      <c r="A152" s="70">
        <v>66</v>
      </c>
      <c r="B152" s="70" t="s">
        <v>183</v>
      </c>
      <c r="C152" s="182" t="s">
        <v>184</v>
      </c>
      <c r="D152" s="159" t="s">
        <v>1066</v>
      </c>
      <c r="E152" s="183">
        <f>8370*1.07</f>
        <v>8955.9</v>
      </c>
      <c r="F152" s="101" t="s">
        <v>1054</v>
      </c>
      <c r="G152" s="184" t="s">
        <v>1067</v>
      </c>
      <c r="H152" s="70">
        <v>1</v>
      </c>
    </row>
    <row r="153" spans="1:9" ht="27.75">
      <c r="A153" s="76"/>
      <c r="B153" s="71"/>
      <c r="C153" s="201"/>
      <c r="D153" s="121"/>
      <c r="E153" s="104"/>
      <c r="F153" s="76"/>
      <c r="G153" s="170"/>
      <c r="H153" s="76"/>
    </row>
    <row r="154" spans="1:9" ht="27.75">
      <c r="A154" s="70">
        <v>67</v>
      </c>
      <c r="B154" s="129" t="s">
        <v>14</v>
      </c>
      <c r="C154" s="182" t="s">
        <v>15</v>
      </c>
      <c r="D154" s="159" t="s">
        <v>1068</v>
      </c>
      <c r="E154" s="183">
        <f>42000*1.07</f>
        <v>44940</v>
      </c>
      <c r="F154" s="101" t="s">
        <v>1054</v>
      </c>
      <c r="G154" s="184" t="s">
        <v>1069</v>
      </c>
      <c r="H154" s="70">
        <v>1</v>
      </c>
    </row>
    <row r="155" spans="1:9" ht="27.75">
      <c r="A155" s="76"/>
      <c r="B155" s="71"/>
      <c r="C155" s="201"/>
      <c r="D155" s="169"/>
      <c r="E155" s="104"/>
      <c r="F155" s="76"/>
      <c r="G155" s="170"/>
      <c r="H155" s="76"/>
    </row>
    <row r="156" spans="1:9" ht="27.75">
      <c r="A156" s="70">
        <v>68</v>
      </c>
      <c r="B156" s="162" t="s">
        <v>1070</v>
      </c>
      <c r="C156" s="182" t="s">
        <v>1071</v>
      </c>
      <c r="D156" s="159" t="s">
        <v>1072</v>
      </c>
      <c r="E156" s="183">
        <f>15600*1.07</f>
        <v>16692</v>
      </c>
      <c r="F156" s="101" t="s">
        <v>1054</v>
      </c>
      <c r="G156" s="184" t="s">
        <v>1073</v>
      </c>
      <c r="H156" s="70">
        <v>1</v>
      </c>
    </row>
    <row r="157" spans="1:9" ht="27.75">
      <c r="A157" s="76"/>
      <c r="B157" s="71"/>
      <c r="C157" s="201"/>
      <c r="D157" s="169"/>
      <c r="E157" s="104"/>
      <c r="F157" s="76"/>
      <c r="G157" s="170"/>
      <c r="H157" s="76"/>
    </row>
    <row r="158" spans="1:9" ht="27.75">
      <c r="A158" s="70">
        <v>69</v>
      </c>
      <c r="B158" s="187" t="s">
        <v>698</v>
      </c>
      <c r="C158" s="182" t="s">
        <v>779</v>
      </c>
      <c r="D158" s="159" t="s">
        <v>1074</v>
      </c>
      <c r="E158" s="183">
        <f>15200*1.07</f>
        <v>16264.000000000002</v>
      </c>
      <c r="F158" s="101" t="s">
        <v>1054</v>
      </c>
      <c r="G158" s="184" t="s">
        <v>1075</v>
      </c>
      <c r="H158" s="70">
        <v>1</v>
      </c>
    </row>
    <row r="159" spans="1:9" s="43" customFormat="1" ht="27.75">
      <c r="A159" s="76"/>
      <c r="B159" s="71"/>
      <c r="C159" s="201"/>
      <c r="D159" s="169"/>
      <c r="E159" s="104"/>
      <c r="F159" s="76"/>
      <c r="G159" s="170"/>
      <c r="H159" s="76"/>
    </row>
    <row r="160" spans="1:9" ht="27.75" customHeight="1">
      <c r="A160" s="70">
        <v>70</v>
      </c>
      <c r="B160" s="171" t="s">
        <v>1076</v>
      </c>
      <c r="C160" s="182" t="s">
        <v>1077</v>
      </c>
      <c r="D160" s="159" t="s">
        <v>1078</v>
      </c>
      <c r="E160" s="183">
        <f>58000*1.07</f>
        <v>62060</v>
      </c>
      <c r="F160" s="101" t="s">
        <v>1054</v>
      </c>
      <c r="G160" s="184" t="s">
        <v>1079</v>
      </c>
      <c r="H160" s="70">
        <v>1</v>
      </c>
      <c r="I160" s="5"/>
    </row>
    <row r="161" spans="1:8" ht="27.75">
      <c r="A161" s="76"/>
      <c r="B161" s="71"/>
      <c r="C161" s="201"/>
      <c r="D161" s="121"/>
      <c r="E161" s="104"/>
      <c r="F161" s="76"/>
      <c r="G161" s="170"/>
      <c r="H161" s="76"/>
    </row>
    <row r="162" spans="1:8" ht="27.75">
      <c r="A162" s="70">
        <v>71</v>
      </c>
      <c r="B162" s="171" t="s">
        <v>1076</v>
      </c>
      <c r="C162" s="182" t="s">
        <v>1080</v>
      </c>
      <c r="D162" s="159" t="s">
        <v>1081</v>
      </c>
      <c r="E162" s="183">
        <f>27500*1.07</f>
        <v>29425</v>
      </c>
      <c r="F162" s="101" t="s">
        <v>1054</v>
      </c>
      <c r="G162" s="184" t="s">
        <v>1082</v>
      </c>
      <c r="H162" s="70">
        <v>1</v>
      </c>
    </row>
    <row r="163" spans="1:8" ht="27.75">
      <c r="A163" s="76"/>
      <c r="B163" s="71"/>
      <c r="C163" s="201"/>
      <c r="D163" s="121"/>
      <c r="E163" s="104"/>
      <c r="F163" s="76"/>
      <c r="G163" s="170"/>
      <c r="H163" s="76"/>
    </row>
    <row r="164" spans="1:8" ht="27.75">
      <c r="A164" s="70">
        <v>72</v>
      </c>
      <c r="B164" s="37" t="s">
        <v>27</v>
      </c>
      <c r="C164" s="182" t="s">
        <v>28</v>
      </c>
      <c r="D164" s="159" t="s">
        <v>1083</v>
      </c>
      <c r="E164" s="183">
        <f>65140*1.07</f>
        <v>69699.8</v>
      </c>
      <c r="F164" s="101" t="s">
        <v>1054</v>
      </c>
      <c r="G164" s="184" t="s">
        <v>1084</v>
      </c>
      <c r="H164" s="80">
        <v>1</v>
      </c>
    </row>
    <row r="165" spans="1:8" ht="27.75">
      <c r="A165" s="76"/>
      <c r="B165" s="71"/>
      <c r="C165" s="201"/>
      <c r="D165" s="121"/>
      <c r="E165" s="104"/>
      <c r="F165" s="76"/>
      <c r="G165" s="170"/>
      <c r="H165" s="80"/>
    </row>
    <row r="166" spans="1:8" ht="27.75">
      <c r="A166" s="70">
        <v>73</v>
      </c>
      <c r="B166" s="28" t="s">
        <v>9</v>
      </c>
      <c r="C166" s="182" t="s">
        <v>50</v>
      </c>
      <c r="D166" s="159" t="s">
        <v>1085</v>
      </c>
      <c r="E166" s="183">
        <f>3300*1.07</f>
        <v>3531</v>
      </c>
      <c r="F166" s="101" t="s">
        <v>1086</v>
      </c>
      <c r="G166" s="184" t="s">
        <v>1087</v>
      </c>
      <c r="H166" s="70">
        <v>1</v>
      </c>
    </row>
    <row r="167" spans="1:8" ht="27.75">
      <c r="A167" s="76"/>
      <c r="B167" s="71"/>
      <c r="C167" s="201"/>
      <c r="D167" s="121"/>
      <c r="E167" s="104"/>
      <c r="F167" s="76"/>
      <c r="G167" s="170"/>
      <c r="H167" s="76"/>
    </row>
    <row r="168" spans="1:8" ht="27.75">
      <c r="A168" s="70">
        <v>74</v>
      </c>
      <c r="B168" s="24" t="s">
        <v>141</v>
      </c>
      <c r="C168" s="180" t="s">
        <v>340</v>
      </c>
      <c r="D168" s="10" t="s">
        <v>1088</v>
      </c>
      <c r="E168" s="11">
        <f>33200*1.07</f>
        <v>35524</v>
      </c>
      <c r="F168" s="101" t="s">
        <v>1086</v>
      </c>
      <c r="G168" s="231" t="s">
        <v>1089</v>
      </c>
      <c r="H168" s="70">
        <v>1</v>
      </c>
    </row>
    <row r="169" spans="1:8" ht="27.75">
      <c r="A169" s="76"/>
      <c r="B169" s="71"/>
      <c r="C169" s="201"/>
      <c r="D169" s="169" t="s">
        <v>226</v>
      </c>
      <c r="E169" s="104"/>
      <c r="F169" s="76"/>
      <c r="G169" s="232"/>
      <c r="H169" s="76"/>
    </row>
    <row r="170" spans="1:8" ht="27.75">
      <c r="A170" s="70">
        <v>75</v>
      </c>
      <c r="B170" s="226" t="s">
        <v>54</v>
      </c>
      <c r="C170" s="182" t="s">
        <v>243</v>
      </c>
      <c r="D170" s="180" t="s">
        <v>1090</v>
      </c>
      <c r="E170" s="161">
        <f>620*1.07</f>
        <v>663.40000000000009</v>
      </c>
      <c r="F170" s="101" t="s">
        <v>1086</v>
      </c>
      <c r="G170" s="233" t="s">
        <v>1091</v>
      </c>
      <c r="H170" s="80">
        <v>1</v>
      </c>
    </row>
    <row r="171" spans="1:8" ht="27.75">
      <c r="A171" s="80"/>
      <c r="B171" s="81"/>
      <c r="C171" s="201"/>
      <c r="D171" s="234"/>
      <c r="E171" s="74"/>
      <c r="F171" s="76"/>
      <c r="G171" s="232"/>
      <c r="H171" s="80"/>
    </row>
    <row r="172" spans="1:8" ht="27.75">
      <c r="A172" s="70">
        <v>76</v>
      </c>
      <c r="B172" s="13" t="s">
        <v>1092</v>
      </c>
      <c r="C172" s="10" t="s">
        <v>1093</v>
      </c>
      <c r="D172" s="152" t="s">
        <v>1094</v>
      </c>
      <c r="E172" s="151">
        <f>26000*1.07</f>
        <v>27820</v>
      </c>
      <c r="F172" s="101" t="s">
        <v>1095</v>
      </c>
      <c r="G172" s="13" t="s">
        <v>1096</v>
      </c>
      <c r="H172" s="70">
        <v>1</v>
      </c>
    </row>
    <row r="173" spans="1:8" ht="27.75">
      <c r="A173" s="76"/>
      <c r="B173" s="76"/>
      <c r="C173" s="17" t="s">
        <v>1097</v>
      </c>
      <c r="D173" s="89" t="s">
        <v>138</v>
      </c>
      <c r="E173" s="74"/>
      <c r="F173" s="76"/>
      <c r="G173" s="170"/>
      <c r="H173" s="76"/>
    </row>
    <row r="174" spans="1:8" s="43" customFormat="1" ht="27.75">
      <c r="A174" s="84"/>
      <c r="B174" s="84"/>
      <c r="C174" s="2"/>
      <c r="D174" s="82"/>
      <c r="E174" s="94"/>
      <c r="F174" s="84"/>
      <c r="G174" s="84"/>
      <c r="H174" s="84"/>
    </row>
    <row r="175" spans="1:8" ht="31.5" customHeight="1">
      <c r="A175" s="336" t="s">
        <v>561</v>
      </c>
      <c r="B175" s="338" t="s">
        <v>0</v>
      </c>
      <c r="C175" s="340" t="s">
        <v>1</v>
      </c>
      <c r="D175" s="341" t="s">
        <v>2</v>
      </c>
      <c r="E175" s="342" t="s">
        <v>3</v>
      </c>
      <c r="F175" s="341" t="s">
        <v>4</v>
      </c>
      <c r="G175" s="341"/>
      <c r="H175" s="336" t="s">
        <v>5</v>
      </c>
    </row>
    <row r="176" spans="1:8" ht="50.25" customHeight="1">
      <c r="A176" s="337"/>
      <c r="B176" s="339"/>
      <c r="C176" s="340"/>
      <c r="D176" s="341"/>
      <c r="E176" s="343"/>
      <c r="F176" s="268" t="s">
        <v>6</v>
      </c>
      <c r="G176" s="267" t="s">
        <v>7</v>
      </c>
      <c r="H176" s="337"/>
    </row>
    <row r="177" spans="1:8" ht="27.75">
      <c r="A177" s="70">
        <v>77</v>
      </c>
      <c r="B177" s="162" t="s">
        <v>1098</v>
      </c>
      <c r="C177" s="159" t="s">
        <v>1099</v>
      </c>
      <c r="D177" s="2" t="s">
        <v>1100</v>
      </c>
      <c r="E177" s="155">
        <f>40000*1.07</f>
        <v>42800</v>
      </c>
      <c r="F177" s="101" t="s">
        <v>1095</v>
      </c>
      <c r="G177" s="184" t="s">
        <v>1101</v>
      </c>
      <c r="H177" s="70">
        <v>1</v>
      </c>
    </row>
    <row r="178" spans="1:8" ht="27.75">
      <c r="A178" s="76"/>
      <c r="B178" s="71"/>
      <c r="C178" s="121"/>
      <c r="D178" s="124"/>
      <c r="E178" s="74"/>
      <c r="F178" s="76"/>
      <c r="G178" s="170"/>
      <c r="H178" s="76"/>
    </row>
    <row r="179" spans="1:8" ht="27.75">
      <c r="A179" s="70">
        <v>78</v>
      </c>
      <c r="B179" s="162" t="s">
        <v>397</v>
      </c>
      <c r="C179" s="10" t="s">
        <v>398</v>
      </c>
      <c r="D179" s="166" t="s">
        <v>1102</v>
      </c>
      <c r="E179" s="155">
        <f>61570*1.07</f>
        <v>65879.900000000009</v>
      </c>
      <c r="F179" s="101" t="s">
        <v>1095</v>
      </c>
      <c r="G179" s="184" t="s">
        <v>1103</v>
      </c>
      <c r="H179" s="80">
        <v>1</v>
      </c>
    </row>
    <row r="180" spans="1:8" ht="27.75">
      <c r="A180" s="76"/>
      <c r="B180" s="71"/>
      <c r="C180" s="121"/>
      <c r="D180" s="165" t="s">
        <v>1104</v>
      </c>
      <c r="E180" s="74"/>
      <c r="F180" s="76"/>
      <c r="G180" s="170"/>
      <c r="H180" s="80"/>
    </row>
    <row r="181" spans="1:8" ht="27.75">
      <c r="A181" s="70">
        <v>79</v>
      </c>
      <c r="B181" s="162" t="s">
        <v>397</v>
      </c>
      <c r="C181" s="159" t="s">
        <v>684</v>
      </c>
      <c r="D181" s="2" t="s">
        <v>1105</v>
      </c>
      <c r="E181" s="155">
        <f>25500*1.07</f>
        <v>27285</v>
      </c>
      <c r="F181" s="101" t="s">
        <v>1095</v>
      </c>
      <c r="G181" s="184" t="s">
        <v>1106</v>
      </c>
      <c r="H181" s="70">
        <v>1</v>
      </c>
    </row>
    <row r="182" spans="1:8" ht="27.75">
      <c r="A182" s="80"/>
      <c r="B182" s="71"/>
      <c r="C182" s="125"/>
      <c r="D182" s="2" t="s">
        <v>1107</v>
      </c>
      <c r="E182" s="83"/>
      <c r="F182" s="80"/>
      <c r="G182" s="170"/>
      <c r="H182" s="76"/>
    </row>
    <row r="183" spans="1:8" ht="27.75">
      <c r="A183" s="70">
        <v>80</v>
      </c>
      <c r="B183" s="28" t="s">
        <v>54</v>
      </c>
      <c r="C183" s="10" t="s">
        <v>243</v>
      </c>
      <c r="D183" s="152" t="s">
        <v>1108</v>
      </c>
      <c r="E183" s="151">
        <f>8600*1.07</f>
        <v>9202</v>
      </c>
      <c r="F183" s="101" t="s">
        <v>1095</v>
      </c>
      <c r="G183" s="184" t="s">
        <v>1109</v>
      </c>
      <c r="H183" s="70">
        <v>1</v>
      </c>
    </row>
    <row r="184" spans="1:8" ht="27.75">
      <c r="A184" s="76"/>
      <c r="B184" s="71"/>
      <c r="C184" s="121"/>
      <c r="D184" s="18" t="s">
        <v>1110</v>
      </c>
      <c r="E184" s="74"/>
      <c r="F184" s="76"/>
      <c r="G184" s="170"/>
      <c r="H184" s="76"/>
    </row>
    <row r="185" spans="1:8" ht="27.75">
      <c r="A185" s="70">
        <v>81</v>
      </c>
      <c r="B185" s="22" t="s">
        <v>115</v>
      </c>
      <c r="C185" s="159" t="s">
        <v>116</v>
      </c>
      <c r="D185" s="235" t="s">
        <v>1111</v>
      </c>
      <c r="E185" s="155">
        <f>84000*1.07</f>
        <v>89880</v>
      </c>
      <c r="F185" s="116" t="s">
        <v>1095</v>
      </c>
      <c r="G185" s="184" t="s">
        <v>1112</v>
      </c>
      <c r="H185" s="70">
        <v>1</v>
      </c>
    </row>
    <row r="186" spans="1:8" ht="27.75">
      <c r="A186" s="80"/>
      <c r="B186" s="71"/>
      <c r="C186" s="121"/>
      <c r="D186" s="89" t="s">
        <v>1113</v>
      </c>
      <c r="E186" s="74"/>
      <c r="F186" s="76"/>
      <c r="G186" s="170"/>
      <c r="H186" s="76"/>
    </row>
    <row r="187" spans="1:8" ht="27.75">
      <c r="A187" s="70">
        <v>82</v>
      </c>
      <c r="B187" s="162" t="s">
        <v>45</v>
      </c>
      <c r="C187" s="159" t="s">
        <v>911</v>
      </c>
      <c r="D187" s="2" t="s">
        <v>1114</v>
      </c>
      <c r="E187" s="155">
        <f>9800*1.07</f>
        <v>10486</v>
      </c>
      <c r="F187" s="101" t="s">
        <v>1095</v>
      </c>
      <c r="G187" s="184" t="s">
        <v>1115</v>
      </c>
      <c r="H187" s="70">
        <v>1</v>
      </c>
    </row>
    <row r="188" spans="1:8" ht="27.75">
      <c r="A188" s="76"/>
      <c r="B188" s="71"/>
      <c r="C188" s="121"/>
      <c r="D188" s="124"/>
      <c r="E188" s="74"/>
      <c r="F188" s="76"/>
      <c r="G188" s="170"/>
      <c r="H188" s="76"/>
    </row>
    <row r="189" spans="1:8" ht="27.75">
      <c r="A189" s="70">
        <v>83</v>
      </c>
      <c r="B189" s="24" t="s">
        <v>141</v>
      </c>
      <c r="C189" s="159" t="s">
        <v>142</v>
      </c>
      <c r="D189" s="2" t="s">
        <v>1116</v>
      </c>
      <c r="E189" s="155">
        <f>2250*1.07</f>
        <v>2407.5</v>
      </c>
      <c r="F189" s="101" t="s">
        <v>1095</v>
      </c>
      <c r="G189" s="184" t="s">
        <v>1117</v>
      </c>
      <c r="H189" s="80">
        <v>1</v>
      </c>
    </row>
    <row r="190" spans="1:8" s="43" customFormat="1" ht="27.75">
      <c r="A190" s="80"/>
      <c r="B190" s="81"/>
      <c r="C190" s="125"/>
      <c r="D190" s="82"/>
      <c r="E190" s="83"/>
      <c r="F190" s="80"/>
      <c r="G190" s="175"/>
      <c r="H190" s="80"/>
    </row>
    <row r="191" spans="1:8" ht="27.75" customHeight="1">
      <c r="A191" s="70">
        <v>84</v>
      </c>
      <c r="B191" s="28" t="s">
        <v>9</v>
      </c>
      <c r="C191" s="10" t="s">
        <v>50</v>
      </c>
      <c r="D191" s="152" t="s">
        <v>1118</v>
      </c>
      <c r="E191" s="161">
        <f>800*1.07</f>
        <v>856</v>
      </c>
      <c r="F191" s="101" t="s">
        <v>1095</v>
      </c>
      <c r="G191" s="13" t="s">
        <v>1119</v>
      </c>
      <c r="H191" s="70">
        <v>1</v>
      </c>
    </row>
    <row r="192" spans="1:8" ht="27.75">
      <c r="A192" s="76"/>
      <c r="B192" s="71"/>
      <c r="C192" s="121"/>
      <c r="D192" s="89"/>
      <c r="E192" s="74"/>
      <c r="F192" s="76" t="s">
        <v>560</v>
      </c>
      <c r="G192" s="236"/>
      <c r="H192" s="76"/>
    </row>
    <row r="193" spans="1:8" ht="27.75">
      <c r="A193" s="70">
        <v>85</v>
      </c>
      <c r="B193" s="22" t="s">
        <v>1202</v>
      </c>
      <c r="C193" s="67" t="s">
        <v>1203</v>
      </c>
      <c r="D193" s="241" t="s">
        <v>1204</v>
      </c>
      <c r="E193" s="242">
        <v>206510</v>
      </c>
      <c r="F193" s="69" t="s">
        <v>1095</v>
      </c>
      <c r="G193" s="70" t="s">
        <v>1205</v>
      </c>
      <c r="H193" s="181">
        <v>1</v>
      </c>
    </row>
    <row r="194" spans="1:8" ht="27.75">
      <c r="A194" s="76"/>
      <c r="B194" s="76"/>
      <c r="C194" s="73"/>
      <c r="D194" s="169"/>
      <c r="E194" s="239"/>
      <c r="F194" s="93"/>
      <c r="G194" s="76"/>
      <c r="H194" s="170"/>
    </row>
    <row r="195" spans="1:8" ht="27.75">
      <c r="A195" s="70">
        <v>86</v>
      </c>
      <c r="B195" s="28" t="s">
        <v>54</v>
      </c>
      <c r="C195" s="10" t="s">
        <v>243</v>
      </c>
      <c r="D195" s="4" t="s">
        <v>1120</v>
      </c>
      <c r="E195" s="151">
        <f>6000*1.07</f>
        <v>6420</v>
      </c>
      <c r="F195" s="101" t="s">
        <v>1121</v>
      </c>
      <c r="G195" s="134" t="s">
        <v>1122</v>
      </c>
      <c r="H195" s="70">
        <v>1</v>
      </c>
    </row>
    <row r="196" spans="1:8" ht="27.75">
      <c r="A196" s="80"/>
      <c r="B196" s="237"/>
      <c r="C196" s="121"/>
      <c r="D196" s="89"/>
      <c r="E196" s="74"/>
      <c r="F196" s="76"/>
      <c r="G196" s="76"/>
      <c r="H196" s="76"/>
    </row>
    <row r="197" spans="1:8" ht="27.75">
      <c r="A197" s="70">
        <v>87</v>
      </c>
      <c r="B197" s="44" t="s">
        <v>40</v>
      </c>
      <c r="C197" s="10" t="s">
        <v>41</v>
      </c>
      <c r="D197" s="4" t="s">
        <v>1123</v>
      </c>
      <c r="E197" s="155">
        <f>68995*1.07</f>
        <v>73824.650000000009</v>
      </c>
      <c r="F197" s="101" t="s">
        <v>1121</v>
      </c>
      <c r="G197" s="171" t="s">
        <v>1124</v>
      </c>
      <c r="H197" s="70">
        <v>1</v>
      </c>
    </row>
    <row r="198" spans="1:8" ht="27.75">
      <c r="A198" s="76"/>
      <c r="B198" s="71"/>
      <c r="C198" s="17" t="s">
        <v>44</v>
      </c>
      <c r="D198" s="89" t="s">
        <v>929</v>
      </c>
      <c r="E198" s="74"/>
      <c r="F198" s="76"/>
      <c r="G198" s="170"/>
      <c r="H198" s="76"/>
    </row>
    <row r="199" spans="1:8" ht="27.75">
      <c r="A199" s="70">
        <v>88</v>
      </c>
      <c r="B199" s="36" t="s">
        <v>14</v>
      </c>
      <c r="C199" s="159" t="s">
        <v>15</v>
      </c>
      <c r="D199" s="4" t="s">
        <v>1125</v>
      </c>
      <c r="E199" s="155">
        <f>43870*1.07</f>
        <v>46940.9</v>
      </c>
      <c r="F199" s="101" t="s">
        <v>1121</v>
      </c>
      <c r="G199" s="171" t="s">
        <v>1126</v>
      </c>
      <c r="H199" s="70">
        <v>1</v>
      </c>
    </row>
    <row r="200" spans="1:8" ht="27.75">
      <c r="A200" s="76"/>
      <c r="B200" s="71"/>
      <c r="C200" s="121"/>
      <c r="D200" s="89" t="s">
        <v>1127</v>
      </c>
      <c r="E200" s="74"/>
      <c r="F200" s="76"/>
      <c r="G200" s="170"/>
      <c r="H200" s="76"/>
    </row>
    <row r="201" spans="1:8" ht="27.75">
      <c r="A201" s="70">
        <v>89</v>
      </c>
      <c r="B201" s="187" t="s">
        <v>698</v>
      </c>
      <c r="C201" s="159" t="s">
        <v>779</v>
      </c>
      <c r="D201" s="4" t="s">
        <v>1128</v>
      </c>
      <c r="E201" s="155">
        <f>27120*1.07</f>
        <v>29018.400000000001</v>
      </c>
      <c r="F201" s="101" t="s">
        <v>1121</v>
      </c>
      <c r="G201" s="171" t="s">
        <v>1129</v>
      </c>
      <c r="H201" s="70">
        <v>1</v>
      </c>
    </row>
    <row r="202" spans="1:8" ht="27.75">
      <c r="A202" s="80"/>
      <c r="B202" s="71"/>
      <c r="C202" s="72"/>
      <c r="D202" s="73"/>
      <c r="E202" s="74"/>
      <c r="F202" s="76"/>
      <c r="G202" s="75"/>
      <c r="H202" s="76"/>
    </row>
    <row r="203" spans="1:8" ht="27.75">
      <c r="A203" s="70">
        <v>90</v>
      </c>
      <c r="B203" s="185" t="s">
        <v>1130</v>
      </c>
      <c r="C203" s="10" t="s">
        <v>1131</v>
      </c>
      <c r="D203" s="152" t="s">
        <v>1132</v>
      </c>
      <c r="E203" s="151">
        <f>16000*1.07</f>
        <v>17120</v>
      </c>
      <c r="F203" s="101" t="s">
        <v>1121</v>
      </c>
      <c r="G203" s="26" t="s">
        <v>1133</v>
      </c>
      <c r="H203" s="70">
        <v>1</v>
      </c>
    </row>
    <row r="204" spans="1:8" ht="27.75">
      <c r="A204" s="76"/>
      <c r="B204" s="71"/>
      <c r="C204" s="72"/>
      <c r="D204" s="18" t="s">
        <v>1134</v>
      </c>
      <c r="E204" s="74"/>
      <c r="F204" s="76"/>
      <c r="G204" s="75"/>
      <c r="H204" s="76"/>
    </row>
    <row r="205" spans="1:8" ht="27.75">
      <c r="A205" s="70">
        <v>91</v>
      </c>
      <c r="B205" s="153" t="s">
        <v>567</v>
      </c>
      <c r="C205" s="10" t="s">
        <v>568</v>
      </c>
      <c r="D205" s="152" t="s">
        <v>1135</v>
      </c>
      <c r="E205" s="151">
        <f>50500*1.07</f>
        <v>54035</v>
      </c>
      <c r="F205" s="101" t="s">
        <v>1121</v>
      </c>
      <c r="G205" s="26" t="s">
        <v>1500</v>
      </c>
      <c r="H205" s="70">
        <v>1</v>
      </c>
    </row>
    <row r="206" spans="1:8" ht="27.75">
      <c r="A206" s="76"/>
      <c r="B206" s="71"/>
      <c r="C206" s="17"/>
      <c r="D206" s="124"/>
      <c r="E206" s="74"/>
      <c r="F206" s="76"/>
      <c r="G206" s="27"/>
      <c r="H206" s="76"/>
    </row>
    <row r="207" spans="1:8" ht="27.75">
      <c r="A207" s="70">
        <v>92</v>
      </c>
      <c r="B207" s="153" t="s">
        <v>567</v>
      </c>
      <c r="C207" s="10" t="s">
        <v>568</v>
      </c>
      <c r="D207" s="152" t="s">
        <v>1136</v>
      </c>
      <c r="E207" s="151">
        <f>24400*1.07</f>
        <v>26108</v>
      </c>
      <c r="F207" s="101" t="s">
        <v>1121</v>
      </c>
      <c r="G207" s="26" t="s">
        <v>1137</v>
      </c>
      <c r="H207" s="70">
        <v>1</v>
      </c>
    </row>
    <row r="208" spans="1:8" ht="27.75">
      <c r="A208" s="76"/>
      <c r="B208" s="71"/>
      <c r="C208" s="72"/>
      <c r="D208" s="73"/>
      <c r="E208" s="74"/>
      <c r="F208" s="76"/>
      <c r="G208" s="75"/>
      <c r="H208" s="76"/>
    </row>
    <row r="209" spans="1:8" s="43" customFormat="1" ht="27.75">
      <c r="A209" s="84"/>
      <c r="B209" s="84"/>
      <c r="C209" s="78"/>
      <c r="D209" s="78"/>
      <c r="E209" s="94"/>
      <c r="F209" s="84"/>
      <c r="G209" s="84"/>
      <c r="H209" s="84"/>
    </row>
    <row r="210" spans="1:8" ht="31.5" customHeight="1">
      <c r="A210" s="336" t="s">
        <v>561</v>
      </c>
      <c r="B210" s="338" t="s">
        <v>0</v>
      </c>
      <c r="C210" s="340" t="s">
        <v>1</v>
      </c>
      <c r="D210" s="341" t="s">
        <v>2</v>
      </c>
      <c r="E210" s="342" t="s">
        <v>3</v>
      </c>
      <c r="F210" s="344" t="s">
        <v>4</v>
      </c>
      <c r="G210" s="341"/>
      <c r="H210" s="336" t="s">
        <v>5</v>
      </c>
    </row>
    <row r="211" spans="1:8" ht="50.25" customHeight="1">
      <c r="A211" s="337"/>
      <c r="B211" s="339"/>
      <c r="C211" s="340"/>
      <c r="D211" s="341"/>
      <c r="E211" s="343"/>
      <c r="F211" s="284" t="s">
        <v>6</v>
      </c>
      <c r="G211" s="283" t="s">
        <v>7</v>
      </c>
      <c r="H211" s="337"/>
    </row>
    <row r="212" spans="1:8" ht="27.75">
      <c r="A212" s="70">
        <v>93</v>
      </c>
      <c r="B212" s="22" t="s">
        <v>1138</v>
      </c>
      <c r="C212" s="10" t="s">
        <v>1139</v>
      </c>
      <c r="D212" s="152" t="s">
        <v>1140</v>
      </c>
      <c r="E212" s="151">
        <f>44250*1.07</f>
        <v>47347.5</v>
      </c>
      <c r="F212" s="101" t="s">
        <v>1121</v>
      </c>
      <c r="G212" s="13" t="s">
        <v>1141</v>
      </c>
      <c r="H212" s="70">
        <v>1</v>
      </c>
    </row>
    <row r="213" spans="1:8" ht="27.75">
      <c r="A213" s="76"/>
      <c r="B213" s="76"/>
      <c r="C213" s="72"/>
      <c r="D213" s="89" t="s">
        <v>636</v>
      </c>
      <c r="E213" s="74"/>
      <c r="F213" s="76"/>
      <c r="G213" s="170"/>
      <c r="H213" s="76"/>
    </row>
    <row r="214" spans="1:8" ht="27.75">
      <c r="A214" s="70">
        <v>94</v>
      </c>
      <c r="B214" s="24" t="s">
        <v>384</v>
      </c>
      <c r="C214" s="159" t="s">
        <v>1142</v>
      </c>
      <c r="D214" s="4" t="s">
        <v>1143</v>
      </c>
      <c r="E214" s="155">
        <f>77650*1.07</f>
        <v>83085.5</v>
      </c>
      <c r="F214" s="101" t="s">
        <v>1144</v>
      </c>
      <c r="G214" s="171" t="s">
        <v>1145</v>
      </c>
      <c r="H214" s="70">
        <v>1</v>
      </c>
    </row>
    <row r="215" spans="1:8" ht="27.75">
      <c r="A215" s="80"/>
      <c r="B215" s="71"/>
      <c r="C215" s="72"/>
      <c r="D215" s="124"/>
      <c r="E215" s="74"/>
      <c r="F215" s="76"/>
      <c r="G215" s="75"/>
      <c r="H215" s="76"/>
    </row>
    <row r="216" spans="1:8" ht="27.75">
      <c r="A216" s="70">
        <v>95</v>
      </c>
      <c r="B216" s="119" t="s">
        <v>124</v>
      </c>
      <c r="C216" s="180" t="s">
        <v>290</v>
      </c>
      <c r="D216" s="10" t="s">
        <v>1146</v>
      </c>
      <c r="E216" s="1">
        <f>84300*1.07</f>
        <v>90201</v>
      </c>
      <c r="F216" s="101" t="s">
        <v>1147</v>
      </c>
      <c r="G216" s="171" t="s">
        <v>1148</v>
      </c>
      <c r="H216" s="70">
        <v>1</v>
      </c>
    </row>
    <row r="217" spans="1:8" ht="27.75">
      <c r="A217" s="76"/>
      <c r="B217" s="71"/>
      <c r="C217" s="115"/>
      <c r="D217" s="169" t="s">
        <v>138</v>
      </c>
      <c r="E217" s="206"/>
      <c r="F217" s="76"/>
      <c r="G217" s="75"/>
      <c r="H217" s="76"/>
    </row>
    <row r="218" spans="1:8" ht="27.75">
      <c r="A218" s="70">
        <v>96</v>
      </c>
      <c r="B218" s="28" t="s">
        <v>9</v>
      </c>
      <c r="C218" s="182" t="s">
        <v>50</v>
      </c>
      <c r="D218" s="159" t="s">
        <v>1149</v>
      </c>
      <c r="E218" s="1">
        <f>6300*1.07</f>
        <v>6741</v>
      </c>
      <c r="F218" s="101" t="s">
        <v>1147</v>
      </c>
      <c r="G218" s="171" t="s">
        <v>1150</v>
      </c>
      <c r="H218" s="70">
        <v>1</v>
      </c>
    </row>
    <row r="219" spans="1:8" ht="27.75">
      <c r="A219" s="80"/>
      <c r="B219" s="71"/>
      <c r="C219" s="115"/>
      <c r="D219" s="121"/>
      <c r="E219" s="104"/>
      <c r="F219" s="76"/>
      <c r="G219" s="75"/>
      <c r="H219" s="76"/>
    </row>
    <row r="220" spans="1:8" ht="27.75">
      <c r="A220" s="70">
        <v>97</v>
      </c>
      <c r="B220" s="187" t="s">
        <v>698</v>
      </c>
      <c r="C220" s="182" t="s">
        <v>795</v>
      </c>
      <c r="D220" s="159" t="s">
        <v>1151</v>
      </c>
      <c r="E220" s="1">
        <f>24000*1.07</f>
        <v>25680</v>
      </c>
      <c r="F220" s="101" t="s">
        <v>1147</v>
      </c>
      <c r="G220" s="171" t="s">
        <v>1152</v>
      </c>
      <c r="H220" s="70">
        <v>1</v>
      </c>
    </row>
    <row r="221" spans="1:8" ht="27.75">
      <c r="A221" s="76"/>
      <c r="B221" s="71"/>
      <c r="C221" s="115"/>
      <c r="D221" s="121"/>
      <c r="E221" s="104"/>
      <c r="F221" s="76"/>
      <c r="G221" s="75"/>
      <c r="H221" s="76"/>
    </row>
    <row r="222" spans="1:8" ht="27.75">
      <c r="A222" s="70">
        <v>98</v>
      </c>
      <c r="B222" s="22" t="s">
        <v>58</v>
      </c>
      <c r="C222" s="182" t="s">
        <v>270</v>
      </c>
      <c r="D222" s="159" t="s">
        <v>1153</v>
      </c>
      <c r="E222" s="1">
        <f>24540*1.07</f>
        <v>26257.800000000003</v>
      </c>
      <c r="F222" s="101" t="s">
        <v>1147</v>
      </c>
      <c r="G222" s="171" t="s">
        <v>1154</v>
      </c>
      <c r="H222" s="70">
        <v>1</v>
      </c>
    </row>
    <row r="223" spans="1:8" ht="27.75">
      <c r="A223" s="80"/>
      <c r="B223" s="81"/>
      <c r="C223" s="238"/>
      <c r="D223" s="169" t="s">
        <v>226</v>
      </c>
      <c r="E223" s="94"/>
      <c r="F223" s="80"/>
      <c r="G223" s="84"/>
      <c r="H223" s="76"/>
    </row>
    <row r="224" spans="1:8" ht="27.75">
      <c r="A224" s="70">
        <v>99</v>
      </c>
      <c r="B224" s="70" t="s">
        <v>183</v>
      </c>
      <c r="C224" s="10" t="s">
        <v>70</v>
      </c>
      <c r="D224" s="159" t="s">
        <v>1155</v>
      </c>
      <c r="E224" s="173">
        <f>41490*1.07</f>
        <v>44394.3</v>
      </c>
      <c r="F224" s="101" t="s">
        <v>1147</v>
      </c>
      <c r="G224" s="13" t="s">
        <v>1156</v>
      </c>
      <c r="H224" s="70">
        <v>1</v>
      </c>
    </row>
    <row r="225" spans="1:8" ht="27.75" customHeight="1">
      <c r="A225" s="76"/>
      <c r="B225" s="71"/>
      <c r="C225" s="72"/>
      <c r="D225" s="169"/>
      <c r="E225" s="109"/>
      <c r="F225" s="76"/>
      <c r="G225" s="76"/>
      <c r="H225" s="76"/>
    </row>
    <row r="226" spans="1:8" ht="27.75">
      <c r="A226" s="70">
        <v>100</v>
      </c>
      <c r="B226" s="119" t="s">
        <v>124</v>
      </c>
      <c r="C226" s="4" t="s">
        <v>290</v>
      </c>
      <c r="D226" s="10" t="s">
        <v>1157</v>
      </c>
      <c r="E226" s="1">
        <f>91800*1.07</f>
        <v>98226</v>
      </c>
      <c r="F226" s="101" t="s">
        <v>1158</v>
      </c>
      <c r="G226" s="171" t="s">
        <v>1159</v>
      </c>
      <c r="H226" s="70">
        <v>1</v>
      </c>
    </row>
    <row r="227" spans="1:8" ht="27.75">
      <c r="A227" s="80"/>
      <c r="B227" s="71"/>
      <c r="C227" s="115"/>
      <c r="D227" s="169"/>
      <c r="E227" s="104"/>
      <c r="F227" s="76"/>
      <c r="G227" s="75"/>
      <c r="H227" s="76"/>
    </row>
    <row r="228" spans="1:8" ht="27.75">
      <c r="A228" s="70">
        <v>101</v>
      </c>
      <c r="B228" s="28" t="s">
        <v>54</v>
      </c>
      <c r="C228" s="4" t="s">
        <v>243</v>
      </c>
      <c r="D228" s="159" t="s">
        <v>1160</v>
      </c>
      <c r="E228" s="221">
        <f>2600*1.07</f>
        <v>2782</v>
      </c>
      <c r="F228" s="101" t="s">
        <v>1158</v>
      </c>
      <c r="G228" s="171" t="s">
        <v>1161</v>
      </c>
      <c r="H228" s="80">
        <v>1</v>
      </c>
    </row>
    <row r="229" spans="1:8" ht="27.75">
      <c r="A229" s="76"/>
      <c r="B229" s="71"/>
      <c r="C229" s="115"/>
      <c r="D229" s="169"/>
      <c r="E229" s="104"/>
      <c r="F229" s="204"/>
      <c r="G229" s="170"/>
      <c r="H229" s="80"/>
    </row>
    <row r="230" spans="1:8" ht="27.75">
      <c r="A230" s="70">
        <v>102</v>
      </c>
      <c r="B230" s="133" t="s">
        <v>743</v>
      </c>
      <c r="C230" s="4" t="s">
        <v>962</v>
      </c>
      <c r="D230" s="186" t="s">
        <v>1162</v>
      </c>
      <c r="E230" s="1">
        <f>83400*1.07</f>
        <v>89238</v>
      </c>
      <c r="F230" s="101" t="s">
        <v>1163</v>
      </c>
      <c r="G230" s="171" t="s">
        <v>1164</v>
      </c>
      <c r="H230" s="70">
        <v>1</v>
      </c>
    </row>
    <row r="231" spans="1:8" ht="27.75">
      <c r="A231" s="80"/>
      <c r="B231" s="81"/>
      <c r="C231" s="111"/>
      <c r="D231" s="167"/>
      <c r="E231" s="94"/>
      <c r="F231" s="80"/>
      <c r="G231" s="84"/>
      <c r="H231" s="76"/>
    </row>
    <row r="232" spans="1:8" ht="27.75">
      <c r="A232" s="70">
        <v>103</v>
      </c>
      <c r="B232" s="24" t="s">
        <v>200</v>
      </c>
      <c r="C232" s="211" t="s">
        <v>337</v>
      </c>
      <c r="D232" s="172" t="s">
        <v>1165</v>
      </c>
      <c r="E232" s="11">
        <f>53200*1.07</f>
        <v>56924</v>
      </c>
      <c r="F232" s="101" t="s">
        <v>1163</v>
      </c>
      <c r="G232" s="13" t="s">
        <v>1166</v>
      </c>
      <c r="H232" s="70">
        <v>1</v>
      </c>
    </row>
    <row r="233" spans="1:8" ht="27.75">
      <c r="A233" s="80"/>
      <c r="B233" s="80"/>
      <c r="C233" s="78"/>
      <c r="D233" s="167" t="s">
        <v>138</v>
      </c>
      <c r="E233" s="94"/>
      <c r="F233" s="80"/>
      <c r="G233" s="175"/>
      <c r="H233" s="80"/>
    </row>
    <row r="234" spans="1:8" s="269" customFormat="1" ht="27.75">
      <c r="A234" s="70">
        <v>104</v>
      </c>
      <c r="B234" s="270" t="s">
        <v>488</v>
      </c>
      <c r="C234" s="271" t="s">
        <v>1167</v>
      </c>
      <c r="D234" s="211" t="s">
        <v>1168</v>
      </c>
      <c r="E234" s="279">
        <f>93000*1.07</f>
        <v>99510</v>
      </c>
      <c r="F234" s="272" t="s">
        <v>1163</v>
      </c>
      <c r="G234" s="281" t="s">
        <v>1169</v>
      </c>
      <c r="H234" s="273">
        <v>1</v>
      </c>
    </row>
    <row r="235" spans="1:8" s="269" customFormat="1" ht="27.75">
      <c r="A235" s="80"/>
      <c r="B235" s="278"/>
      <c r="C235" s="274"/>
      <c r="D235" s="275"/>
      <c r="E235" s="280"/>
      <c r="F235" s="276"/>
      <c r="G235" s="282"/>
      <c r="H235" s="277"/>
    </row>
    <row r="236" spans="1:8" ht="27.75">
      <c r="A236" s="70">
        <v>105</v>
      </c>
      <c r="B236" s="131" t="s">
        <v>45</v>
      </c>
      <c r="C236" s="191" t="s">
        <v>1170</v>
      </c>
      <c r="D236" s="2" t="s">
        <v>1171</v>
      </c>
      <c r="E236" s="155">
        <f>29600*1.07</f>
        <v>31672.000000000004</v>
      </c>
      <c r="F236" s="156" t="s">
        <v>1163</v>
      </c>
      <c r="G236" s="157" t="s">
        <v>1172</v>
      </c>
      <c r="H236" s="175">
        <v>1</v>
      </c>
    </row>
    <row r="237" spans="1:8" ht="27.75">
      <c r="A237" s="71"/>
      <c r="B237" s="76"/>
      <c r="C237" s="93"/>
      <c r="D237" s="89" t="s">
        <v>636</v>
      </c>
      <c r="E237" s="74"/>
      <c r="F237" s="75"/>
      <c r="G237" s="76"/>
      <c r="H237" s="170"/>
    </row>
    <row r="238" spans="1:8" ht="27.75">
      <c r="A238" s="70">
        <v>106</v>
      </c>
      <c r="B238" s="37" t="s">
        <v>27</v>
      </c>
      <c r="C238" s="159" t="s">
        <v>80</v>
      </c>
      <c r="D238" s="2" t="s">
        <v>1173</v>
      </c>
      <c r="E238" s="155">
        <f>51000*1.07</f>
        <v>54570</v>
      </c>
      <c r="F238" s="101" t="s">
        <v>1163</v>
      </c>
      <c r="G238" s="184" t="s">
        <v>1174</v>
      </c>
      <c r="H238" s="70">
        <v>1</v>
      </c>
    </row>
    <row r="239" spans="1:8" ht="27.75">
      <c r="A239" s="76"/>
      <c r="B239" s="76"/>
      <c r="C239" s="72"/>
      <c r="D239" s="89" t="s">
        <v>138</v>
      </c>
      <c r="E239" s="74"/>
      <c r="F239" s="76"/>
      <c r="G239" s="170"/>
      <c r="H239" s="76"/>
    </row>
    <row r="240" spans="1:8" ht="27.75">
      <c r="A240" s="70">
        <v>107</v>
      </c>
      <c r="B240" s="24" t="s">
        <v>274</v>
      </c>
      <c r="C240" s="159" t="s">
        <v>275</v>
      </c>
      <c r="D240" s="2" t="s">
        <v>1175</v>
      </c>
      <c r="E240" s="155">
        <f>30000*1.07</f>
        <v>32100.000000000004</v>
      </c>
      <c r="F240" s="101" t="s">
        <v>1163</v>
      </c>
      <c r="G240" s="184" t="s">
        <v>1176</v>
      </c>
      <c r="H240" s="70">
        <v>1</v>
      </c>
    </row>
    <row r="241" spans="1:8" ht="27.75">
      <c r="A241" s="76"/>
      <c r="B241" s="76"/>
      <c r="C241" s="72"/>
      <c r="D241" s="73"/>
      <c r="E241" s="74"/>
      <c r="F241" s="76"/>
      <c r="G241" s="170"/>
      <c r="H241" s="76"/>
    </row>
    <row r="242" spans="1:8" ht="27.75">
      <c r="A242" s="70">
        <v>108</v>
      </c>
      <c r="B242" s="134" t="s">
        <v>1076</v>
      </c>
      <c r="C242" s="180" t="s">
        <v>1080</v>
      </c>
      <c r="D242" s="10" t="s">
        <v>1177</v>
      </c>
      <c r="E242" s="151">
        <f>85500*1.07</f>
        <v>91485</v>
      </c>
      <c r="F242" s="101" t="s">
        <v>1163</v>
      </c>
      <c r="G242" s="13" t="s">
        <v>1178</v>
      </c>
      <c r="H242" s="70">
        <v>1</v>
      </c>
    </row>
    <row r="243" spans="1:8" ht="27.75">
      <c r="A243" s="76"/>
      <c r="B243" s="76"/>
      <c r="C243" s="115"/>
      <c r="D243" s="72"/>
      <c r="E243" s="74"/>
      <c r="F243" s="76"/>
      <c r="G243" s="170"/>
      <c r="H243" s="76"/>
    </row>
    <row r="244" spans="1:8" s="43" customFormat="1" ht="27.75">
      <c r="A244" s="84"/>
      <c r="B244" s="84"/>
      <c r="C244" s="78"/>
      <c r="D244" s="78"/>
      <c r="E244" s="94"/>
      <c r="F244" s="84"/>
      <c r="G244" s="84"/>
      <c r="H244" s="84"/>
    </row>
    <row r="245" spans="1:8" ht="27.75">
      <c r="A245" s="336" t="s">
        <v>561</v>
      </c>
      <c r="B245" s="338" t="s">
        <v>0</v>
      </c>
      <c r="C245" s="341" t="s">
        <v>1</v>
      </c>
      <c r="D245" s="351" t="s">
        <v>2</v>
      </c>
      <c r="E245" s="336" t="s">
        <v>3</v>
      </c>
      <c r="F245" s="344" t="s">
        <v>4</v>
      </c>
      <c r="G245" s="341"/>
      <c r="H245" s="336" t="s">
        <v>5</v>
      </c>
    </row>
    <row r="246" spans="1:8" ht="52.5" customHeight="1">
      <c r="A246" s="337"/>
      <c r="B246" s="339"/>
      <c r="C246" s="341"/>
      <c r="D246" s="351"/>
      <c r="E246" s="337"/>
      <c r="F246" s="284" t="s">
        <v>6</v>
      </c>
      <c r="G246" s="283" t="s">
        <v>7</v>
      </c>
      <c r="H246" s="337"/>
    </row>
    <row r="247" spans="1:8" ht="27.75">
      <c r="A247" s="70">
        <v>109</v>
      </c>
      <c r="B247" s="22" t="s">
        <v>1206</v>
      </c>
      <c r="C247" s="67" t="s">
        <v>1207</v>
      </c>
      <c r="D247" s="241" t="s">
        <v>1208</v>
      </c>
      <c r="E247" s="242">
        <v>428000</v>
      </c>
      <c r="F247" s="69" t="s">
        <v>1163</v>
      </c>
      <c r="G247" s="70" t="s">
        <v>1209</v>
      </c>
      <c r="H247" s="70">
        <v>1</v>
      </c>
    </row>
    <row r="248" spans="1:8" ht="27.75">
      <c r="A248" s="76"/>
      <c r="B248" s="76"/>
      <c r="C248" s="73"/>
      <c r="D248" s="169"/>
      <c r="E248" s="239"/>
      <c r="F248" s="93"/>
      <c r="G248" s="76"/>
      <c r="H248" s="76"/>
    </row>
    <row r="249" spans="1:8" ht="27.75">
      <c r="A249" s="70">
        <v>110</v>
      </c>
      <c r="B249" s="162" t="s">
        <v>435</v>
      </c>
      <c r="C249" s="180" t="s">
        <v>436</v>
      </c>
      <c r="D249" s="10" t="s">
        <v>1179</v>
      </c>
      <c r="E249" s="151">
        <f>23600*1.07</f>
        <v>25252</v>
      </c>
      <c r="F249" s="69" t="s">
        <v>1180</v>
      </c>
      <c r="G249" s="134" t="s">
        <v>1181</v>
      </c>
      <c r="H249" s="181">
        <v>1</v>
      </c>
    </row>
    <row r="250" spans="1:8" ht="27.75">
      <c r="A250" s="76"/>
      <c r="B250" s="71"/>
      <c r="C250" s="115"/>
      <c r="D250" s="72"/>
      <c r="E250" s="74"/>
      <c r="F250" s="75"/>
      <c r="G250" s="76"/>
      <c r="H250" s="170"/>
    </row>
    <row r="251" spans="1:8" ht="27.75">
      <c r="A251" s="70">
        <v>111</v>
      </c>
      <c r="B251" s="24" t="s">
        <v>141</v>
      </c>
      <c r="C251" s="180" t="s">
        <v>142</v>
      </c>
      <c r="D251" s="10" t="s">
        <v>1182</v>
      </c>
      <c r="E251" s="151">
        <f>20000*1.07</f>
        <v>21400</v>
      </c>
      <c r="F251" s="69" t="s">
        <v>1180</v>
      </c>
      <c r="G251" s="134" t="s">
        <v>1183</v>
      </c>
      <c r="H251" s="181">
        <v>1</v>
      </c>
    </row>
    <row r="252" spans="1:8" ht="27.75">
      <c r="A252" s="76"/>
      <c r="B252" s="71"/>
      <c r="C252" s="115"/>
      <c r="D252" s="169" t="s">
        <v>226</v>
      </c>
      <c r="E252" s="74"/>
      <c r="F252" s="75"/>
      <c r="G252" s="76"/>
      <c r="H252" s="175"/>
    </row>
    <row r="253" spans="1:8" ht="27.75">
      <c r="A253" s="70">
        <v>112</v>
      </c>
      <c r="B253" s="119" t="s">
        <v>124</v>
      </c>
      <c r="C253" s="67" t="s">
        <v>125</v>
      </c>
      <c r="D253" s="241" t="s">
        <v>1210</v>
      </c>
      <c r="E253" s="140">
        <v>7305863.7000000002</v>
      </c>
      <c r="F253" s="101" t="s">
        <v>1180</v>
      </c>
      <c r="G253" s="70" t="s">
        <v>1211</v>
      </c>
      <c r="H253" s="70">
        <v>1</v>
      </c>
    </row>
    <row r="254" spans="1:8" ht="27.75">
      <c r="A254" s="76"/>
      <c r="B254" s="72"/>
      <c r="C254" s="73"/>
      <c r="D254" s="169" t="s">
        <v>1212</v>
      </c>
      <c r="E254" s="243"/>
      <c r="F254" s="72"/>
      <c r="G254" s="72"/>
      <c r="H254" s="93"/>
    </row>
    <row r="255" spans="1:8" ht="27.75">
      <c r="A255" s="70">
        <v>113</v>
      </c>
      <c r="B255" s="162" t="s">
        <v>512</v>
      </c>
      <c r="C255" s="182" t="s">
        <v>513</v>
      </c>
      <c r="D255" s="159" t="s">
        <v>1184</v>
      </c>
      <c r="E255" s="155">
        <f>77400*1.07</f>
        <v>82818</v>
      </c>
      <c r="F255" s="156" t="s">
        <v>1185</v>
      </c>
      <c r="G255" s="134" t="s">
        <v>1186</v>
      </c>
      <c r="H255" s="70">
        <v>1</v>
      </c>
    </row>
    <row r="256" spans="1:8" ht="27.75">
      <c r="A256" s="76"/>
      <c r="B256" s="75"/>
      <c r="C256" s="115"/>
      <c r="D256" s="169" t="s">
        <v>19</v>
      </c>
      <c r="E256" s="239"/>
      <c r="F256" s="73"/>
      <c r="G256" s="76"/>
      <c r="H256" s="76"/>
    </row>
    <row r="257" spans="1:8" ht="27.75">
      <c r="A257" s="70">
        <v>114</v>
      </c>
      <c r="B257" s="36" t="s">
        <v>14</v>
      </c>
      <c r="C257" s="180" t="s">
        <v>15</v>
      </c>
      <c r="D257" s="10" t="s">
        <v>1187</v>
      </c>
      <c r="E257" s="168">
        <f>3500*1.07</f>
        <v>3745</v>
      </c>
      <c r="F257" s="69" t="s">
        <v>1185</v>
      </c>
      <c r="G257" s="134" t="s">
        <v>1188</v>
      </c>
      <c r="H257" s="70">
        <v>1</v>
      </c>
    </row>
    <row r="258" spans="1:8" ht="27.75">
      <c r="A258" s="76"/>
      <c r="B258" s="75"/>
      <c r="C258" s="115"/>
      <c r="D258" s="169"/>
      <c r="E258" s="239"/>
      <c r="F258" s="73"/>
      <c r="G258" s="76"/>
      <c r="H258" s="76"/>
    </row>
    <row r="259" spans="1:8" ht="27.75">
      <c r="A259" s="70">
        <v>115</v>
      </c>
      <c r="B259" s="162" t="s">
        <v>1189</v>
      </c>
      <c r="C259" s="180" t="s">
        <v>1190</v>
      </c>
      <c r="D259" s="10" t="s">
        <v>1191</v>
      </c>
      <c r="E259" s="151">
        <f>17000*1.07</f>
        <v>18190</v>
      </c>
      <c r="F259" s="69" t="s">
        <v>1185</v>
      </c>
      <c r="G259" s="134" t="s">
        <v>1192</v>
      </c>
      <c r="H259" s="181">
        <v>1</v>
      </c>
    </row>
    <row r="260" spans="1:8" ht="27.75">
      <c r="A260" s="76"/>
      <c r="B260" s="75"/>
      <c r="C260" s="115"/>
      <c r="D260" s="169"/>
      <c r="E260" s="239"/>
      <c r="F260" s="73"/>
      <c r="G260" s="76"/>
      <c r="H260" s="170"/>
    </row>
    <row r="261" spans="1:8" ht="27.75">
      <c r="A261" s="70">
        <v>116</v>
      </c>
      <c r="B261" s="36" t="s">
        <v>14</v>
      </c>
      <c r="C261" s="182" t="s">
        <v>62</v>
      </c>
      <c r="D261" s="159" t="s">
        <v>1193</v>
      </c>
      <c r="E261" s="155">
        <f>10400*1.07</f>
        <v>11128</v>
      </c>
      <c r="F261" s="69" t="s">
        <v>1185</v>
      </c>
      <c r="G261" s="157" t="s">
        <v>1194</v>
      </c>
      <c r="H261" s="181">
        <v>1</v>
      </c>
    </row>
    <row r="262" spans="1:8" ht="27.75" customHeight="1">
      <c r="A262" s="76"/>
      <c r="B262" s="84"/>
      <c r="C262" s="111"/>
      <c r="D262" s="167"/>
      <c r="E262" s="240"/>
      <c r="F262" s="78"/>
      <c r="G262" s="80"/>
      <c r="H262" s="175"/>
    </row>
    <row r="263" spans="1:8" ht="27.75">
      <c r="A263" s="70">
        <v>117</v>
      </c>
      <c r="B263" s="36" t="s">
        <v>14</v>
      </c>
      <c r="C263" s="180" t="s">
        <v>15</v>
      </c>
      <c r="D263" s="10" t="s">
        <v>1195</v>
      </c>
      <c r="E263" s="151">
        <f>3250*1.07</f>
        <v>3477.5</v>
      </c>
      <c r="F263" s="69" t="s">
        <v>1185</v>
      </c>
      <c r="G263" s="134" t="s">
        <v>1196</v>
      </c>
      <c r="H263" s="70">
        <v>1</v>
      </c>
    </row>
    <row r="264" spans="1:8" ht="27.75">
      <c r="A264" s="76"/>
      <c r="B264" s="71"/>
      <c r="C264" s="115"/>
      <c r="D264" s="169"/>
      <c r="E264" s="239"/>
      <c r="F264" s="73"/>
      <c r="G264" s="76"/>
      <c r="H264" s="76"/>
    </row>
    <row r="265" spans="1:8" ht="27.75">
      <c r="A265" s="70">
        <v>118</v>
      </c>
      <c r="B265" s="26" t="s">
        <v>488</v>
      </c>
      <c r="C265" s="182" t="s">
        <v>369</v>
      </c>
      <c r="D265" s="159" t="s">
        <v>1197</v>
      </c>
      <c r="E265" s="155">
        <f>90000*1.07</f>
        <v>96300</v>
      </c>
      <c r="F265" s="69" t="s">
        <v>1185</v>
      </c>
      <c r="G265" s="157" t="s">
        <v>1198</v>
      </c>
      <c r="H265" s="70">
        <v>1</v>
      </c>
    </row>
    <row r="266" spans="1:8" ht="27.75">
      <c r="A266" s="76"/>
      <c r="B266" s="75"/>
      <c r="C266" s="115"/>
      <c r="D266" s="169" t="s">
        <v>1199</v>
      </c>
      <c r="E266" s="239"/>
      <c r="F266" s="73"/>
      <c r="G266" s="76"/>
      <c r="H266" s="76"/>
    </row>
    <row r="267" spans="1:8" ht="27.75">
      <c r="A267" s="70">
        <v>119</v>
      </c>
      <c r="B267" s="162" t="s">
        <v>1213</v>
      </c>
      <c r="C267" s="10" t="s">
        <v>534</v>
      </c>
      <c r="D267" s="4" t="s">
        <v>1214</v>
      </c>
      <c r="E267" s="151">
        <f>16000*1.07</f>
        <v>17120</v>
      </c>
      <c r="F267" s="101" t="s">
        <v>1215</v>
      </c>
      <c r="G267" s="160" t="s">
        <v>1216</v>
      </c>
      <c r="H267" s="70">
        <v>1</v>
      </c>
    </row>
    <row r="268" spans="1:8" ht="27.75">
      <c r="A268" s="76"/>
      <c r="B268" s="75"/>
      <c r="C268" s="72"/>
      <c r="D268" s="89"/>
      <c r="E268" s="74"/>
      <c r="F268" s="76"/>
      <c r="G268" s="170"/>
      <c r="H268" s="76"/>
    </row>
    <row r="269" spans="1:8" ht="27.75">
      <c r="A269" s="70">
        <v>120</v>
      </c>
      <c r="B269" s="110" t="s">
        <v>124</v>
      </c>
      <c r="C269" s="159" t="s">
        <v>290</v>
      </c>
      <c r="D269" s="4" t="s">
        <v>1217</v>
      </c>
      <c r="E269" s="244">
        <f>93000*1.07</f>
        <v>99510</v>
      </c>
      <c r="F269" s="101" t="s">
        <v>1215</v>
      </c>
      <c r="G269" s="160" t="s">
        <v>1218</v>
      </c>
      <c r="H269" s="80">
        <v>1</v>
      </c>
    </row>
    <row r="270" spans="1:8" ht="27.75">
      <c r="A270" s="76"/>
      <c r="B270" s="75"/>
      <c r="C270" s="72"/>
      <c r="D270" s="89" t="s">
        <v>138</v>
      </c>
      <c r="E270" s="74"/>
      <c r="F270" s="76"/>
      <c r="G270" s="170"/>
      <c r="H270" s="80"/>
    </row>
    <row r="271" spans="1:8" ht="27.75">
      <c r="A271" s="70">
        <v>121</v>
      </c>
      <c r="B271" s="28" t="s">
        <v>9</v>
      </c>
      <c r="C271" s="159" t="s">
        <v>50</v>
      </c>
      <c r="D271" s="4" t="s">
        <v>1219</v>
      </c>
      <c r="E271" s="155">
        <f>1965*1.07</f>
        <v>2102.5500000000002</v>
      </c>
      <c r="F271" s="101" t="s">
        <v>1215</v>
      </c>
      <c r="G271" s="160" t="s">
        <v>1220</v>
      </c>
      <c r="H271" s="70">
        <v>1</v>
      </c>
    </row>
    <row r="272" spans="1:8" ht="27.75">
      <c r="A272" s="76"/>
      <c r="B272" s="87"/>
      <c r="C272" s="72"/>
      <c r="D272" s="89" t="s">
        <v>138</v>
      </c>
      <c r="E272" s="86"/>
      <c r="F272" s="178"/>
      <c r="G272" s="170"/>
      <c r="H272" s="76"/>
    </row>
    <row r="273" spans="1:8" ht="27.75">
      <c r="A273" s="70">
        <v>122</v>
      </c>
      <c r="B273" s="36" t="s">
        <v>14</v>
      </c>
      <c r="C273" s="159" t="s">
        <v>15</v>
      </c>
      <c r="D273" s="4" t="s">
        <v>1221</v>
      </c>
      <c r="E273" s="155">
        <f>15400*1.07</f>
        <v>16478</v>
      </c>
      <c r="F273" s="101" t="s">
        <v>1215</v>
      </c>
      <c r="G273" s="160" t="s">
        <v>1222</v>
      </c>
      <c r="H273" s="70">
        <v>1</v>
      </c>
    </row>
    <row r="274" spans="1:8" ht="27.75">
      <c r="A274" s="76"/>
      <c r="B274" s="75"/>
      <c r="C274" s="72"/>
      <c r="D274" s="89" t="s">
        <v>138</v>
      </c>
      <c r="E274" s="74"/>
      <c r="F274" s="204"/>
      <c r="G274" s="170"/>
      <c r="H274" s="76"/>
    </row>
    <row r="275" spans="1:8" ht="27.75">
      <c r="A275" s="70">
        <v>123</v>
      </c>
      <c r="B275" s="245" t="s">
        <v>23</v>
      </c>
      <c r="C275" s="159" t="s">
        <v>24</v>
      </c>
      <c r="D275" s="4" t="s">
        <v>1223</v>
      </c>
      <c r="E275" s="155">
        <f>3750*1.07</f>
        <v>4012.5000000000005</v>
      </c>
      <c r="F275" s="101" t="s">
        <v>1215</v>
      </c>
      <c r="G275" s="160" t="s">
        <v>1224</v>
      </c>
      <c r="H275" s="80">
        <v>1</v>
      </c>
    </row>
    <row r="276" spans="1:8" ht="27.75">
      <c r="A276" s="76"/>
      <c r="B276" s="160"/>
      <c r="C276" s="77"/>
      <c r="D276" s="78"/>
      <c r="E276" s="83"/>
      <c r="F276" s="80"/>
      <c r="G276" s="175"/>
      <c r="H276" s="80"/>
    </row>
    <row r="277" spans="1:8" ht="27.75">
      <c r="A277" s="70">
        <v>124</v>
      </c>
      <c r="B277" s="36" t="s">
        <v>14</v>
      </c>
      <c r="C277" s="10" t="s">
        <v>15</v>
      </c>
      <c r="D277" s="152" t="s">
        <v>1225</v>
      </c>
      <c r="E277" s="151">
        <f>8000*1.07</f>
        <v>8560</v>
      </c>
      <c r="F277" s="101" t="s">
        <v>1215</v>
      </c>
      <c r="G277" s="181" t="s">
        <v>1226</v>
      </c>
      <c r="H277" s="70">
        <v>1</v>
      </c>
    </row>
    <row r="278" spans="1:8" ht="27.75">
      <c r="A278" s="76"/>
      <c r="B278" s="71"/>
      <c r="C278" s="72"/>
      <c r="D278" s="89"/>
      <c r="E278" s="74"/>
      <c r="F278" s="76"/>
      <c r="G278" s="170"/>
      <c r="H278" s="76"/>
    </row>
    <row r="279" spans="1:8" s="43" customFormat="1" ht="27.75">
      <c r="A279" s="84"/>
      <c r="B279" s="84"/>
      <c r="C279" s="78"/>
      <c r="D279" s="82"/>
      <c r="E279" s="94"/>
      <c r="F279" s="84"/>
      <c r="G279" s="84"/>
      <c r="H279" s="84"/>
    </row>
    <row r="280" spans="1:8" ht="27.75">
      <c r="A280" s="336" t="s">
        <v>561</v>
      </c>
      <c r="B280" s="338" t="s">
        <v>0</v>
      </c>
      <c r="C280" s="341" t="s">
        <v>1</v>
      </c>
      <c r="D280" s="351" t="s">
        <v>2</v>
      </c>
      <c r="E280" s="336" t="s">
        <v>3</v>
      </c>
      <c r="F280" s="344" t="s">
        <v>4</v>
      </c>
      <c r="G280" s="341"/>
      <c r="H280" s="336" t="s">
        <v>5</v>
      </c>
    </row>
    <row r="281" spans="1:8" ht="52.5" customHeight="1">
      <c r="A281" s="337"/>
      <c r="B281" s="339"/>
      <c r="C281" s="341"/>
      <c r="D281" s="351"/>
      <c r="E281" s="337"/>
      <c r="F281" s="284" t="s">
        <v>6</v>
      </c>
      <c r="G281" s="283" t="s">
        <v>7</v>
      </c>
      <c r="H281" s="337"/>
    </row>
    <row r="282" spans="1:8" ht="27.75" customHeight="1">
      <c r="A282" s="70">
        <v>125</v>
      </c>
      <c r="B282" s="24" t="s">
        <v>200</v>
      </c>
      <c r="C282" s="159" t="s">
        <v>201</v>
      </c>
      <c r="D282" s="4" t="s">
        <v>1227</v>
      </c>
      <c r="E282" s="155">
        <f>4700*1.07</f>
        <v>5029</v>
      </c>
      <c r="F282" s="101" t="s">
        <v>1215</v>
      </c>
      <c r="G282" s="160" t="s">
        <v>1228</v>
      </c>
      <c r="H282" s="70">
        <v>1</v>
      </c>
    </row>
    <row r="283" spans="1:8" ht="27.75">
      <c r="A283" s="76"/>
      <c r="B283" s="71"/>
      <c r="C283" s="72"/>
      <c r="D283" s="89" t="s">
        <v>138</v>
      </c>
      <c r="E283" s="74"/>
      <c r="F283" s="76"/>
      <c r="G283" s="170"/>
      <c r="H283" s="76"/>
    </row>
    <row r="284" spans="1:8" ht="27.75">
      <c r="A284" s="70">
        <v>126</v>
      </c>
      <c r="B284" s="24" t="s">
        <v>141</v>
      </c>
      <c r="C284" s="159" t="s">
        <v>142</v>
      </c>
      <c r="D284" s="4" t="s">
        <v>1229</v>
      </c>
      <c r="E284" s="155">
        <f>26410*1.07</f>
        <v>28258.7</v>
      </c>
      <c r="F284" s="101" t="s">
        <v>1215</v>
      </c>
      <c r="G284" s="160" t="s">
        <v>1230</v>
      </c>
      <c r="H284" s="80">
        <v>1</v>
      </c>
    </row>
    <row r="285" spans="1:8" ht="27.75">
      <c r="A285" s="76"/>
      <c r="B285" s="71"/>
      <c r="C285" s="72"/>
      <c r="D285" s="89" t="s">
        <v>1231</v>
      </c>
      <c r="E285" s="74"/>
      <c r="F285" s="76"/>
      <c r="G285" s="170"/>
      <c r="H285" s="80"/>
    </row>
    <row r="286" spans="1:8" ht="27.75">
      <c r="A286" s="70">
        <v>127</v>
      </c>
      <c r="B286" s="171" t="s">
        <v>1076</v>
      </c>
      <c r="C286" s="159" t="s">
        <v>1080</v>
      </c>
      <c r="D286" s="4" t="s">
        <v>1232</v>
      </c>
      <c r="E286" s="155">
        <f>20000*1.07</f>
        <v>21400</v>
      </c>
      <c r="F286" s="101" t="s">
        <v>1215</v>
      </c>
      <c r="G286" s="160" t="s">
        <v>1233</v>
      </c>
      <c r="H286" s="70">
        <v>1</v>
      </c>
    </row>
    <row r="287" spans="1:8" ht="27.75">
      <c r="A287" s="76"/>
      <c r="B287" s="84"/>
      <c r="C287" s="159"/>
      <c r="D287" s="78"/>
      <c r="E287" s="83"/>
      <c r="F287" s="80"/>
      <c r="G287" s="175"/>
      <c r="H287" s="76"/>
    </row>
    <row r="288" spans="1:8" ht="27.75">
      <c r="A288" s="70">
        <v>128</v>
      </c>
      <c r="B288" s="28" t="s">
        <v>9</v>
      </c>
      <c r="C288" s="10" t="s">
        <v>50</v>
      </c>
      <c r="D288" s="211" t="s">
        <v>1234</v>
      </c>
      <c r="E288" s="151">
        <f>1400*1.07</f>
        <v>1498</v>
      </c>
      <c r="F288" s="101" t="s">
        <v>1215</v>
      </c>
      <c r="G288" s="181" t="s">
        <v>1235</v>
      </c>
      <c r="H288" s="70">
        <v>1</v>
      </c>
    </row>
    <row r="289" spans="1:8" ht="27.75">
      <c r="A289" s="76"/>
      <c r="B289" s="85"/>
      <c r="C289" s="72"/>
      <c r="D289" s="89"/>
      <c r="E289" s="86"/>
      <c r="F289" s="178"/>
      <c r="G289" s="170"/>
      <c r="H289" s="80"/>
    </row>
    <row r="290" spans="1:8" ht="27.75">
      <c r="A290" s="70">
        <v>129</v>
      </c>
      <c r="B290" s="246" t="s">
        <v>1236</v>
      </c>
      <c r="C290" s="159" t="s">
        <v>1237</v>
      </c>
      <c r="D290" s="163" t="s">
        <v>1238</v>
      </c>
      <c r="E290" s="155">
        <f>80400*1.07</f>
        <v>86028</v>
      </c>
      <c r="F290" s="116" t="s">
        <v>1215</v>
      </c>
      <c r="G290" s="160" t="s">
        <v>1239</v>
      </c>
      <c r="H290" s="70">
        <v>1</v>
      </c>
    </row>
    <row r="291" spans="1:8" ht="27.75">
      <c r="A291" s="76"/>
      <c r="B291" s="71"/>
      <c r="C291" s="72"/>
      <c r="D291" s="18" t="s">
        <v>1240</v>
      </c>
      <c r="E291" s="74"/>
      <c r="F291" s="76"/>
      <c r="G291" s="170"/>
      <c r="H291" s="76"/>
    </row>
    <row r="292" spans="1:8" ht="27.75">
      <c r="A292" s="70">
        <v>130</v>
      </c>
      <c r="B292" s="119" t="s">
        <v>508</v>
      </c>
      <c r="C292" s="159" t="s">
        <v>509</v>
      </c>
      <c r="D292" s="4" t="s">
        <v>1241</v>
      </c>
      <c r="E292" s="155">
        <f>91860*1.07</f>
        <v>98290.200000000012</v>
      </c>
      <c r="F292" s="101" t="s">
        <v>1242</v>
      </c>
      <c r="G292" s="160" t="s">
        <v>1243</v>
      </c>
      <c r="H292" s="80">
        <v>1</v>
      </c>
    </row>
    <row r="293" spans="1:8" ht="27.75">
      <c r="A293" s="76"/>
      <c r="B293" s="75"/>
      <c r="C293" s="72"/>
      <c r="D293" s="89" t="s">
        <v>226</v>
      </c>
      <c r="E293" s="74"/>
      <c r="F293" s="76"/>
      <c r="G293" s="170"/>
      <c r="H293" s="76"/>
    </row>
    <row r="294" spans="1:8" ht="27.75">
      <c r="A294" s="70">
        <v>131</v>
      </c>
      <c r="B294" s="162" t="s">
        <v>1244</v>
      </c>
      <c r="C294" s="159" t="s">
        <v>501</v>
      </c>
      <c r="D294" s="163" t="s">
        <v>1245</v>
      </c>
      <c r="E294" s="155">
        <f>61800*1.07</f>
        <v>66126</v>
      </c>
      <c r="F294" s="101" t="s">
        <v>1246</v>
      </c>
      <c r="G294" s="160" t="s">
        <v>1247</v>
      </c>
      <c r="H294" s="70">
        <v>1</v>
      </c>
    </row>
    <row r="295" spans="1:8" ht="27.75">
      <c r="A295" s="76"/>
      <c r="B295" s="71"/>
      <c r="C295" s="72"/>
      <c r="D295" s="89"/>
      <c r="E295" s="74"/>
      <c r="F295" s="76"/>
      <c r="G295" s="170"/>
      <c r="H295" s="76"/>
    </row>
    <row r="296" spans="1:8" ht="27.75">
      <c r="A296" s="70">
        <v>132</v>
      </c>
      <c r="B296" s="162" t="s">
        <v>45</v>
      </c>
      <c r="C296" s="10" t="s">
        <v>1248</v>
      </c>
      <c r="D296" s="152" t="s">
        <v>1249</v>
      </c>
      <c r="E296" s="151">
        <f>21290*1.07</f>
        <v>22780.300000000003</v>
      </c>
      <c r="F296" s="101" t="s">
        <v>1246</v>
      </c>
      <c r="G296" s="160" t="s">
        <v>1250</v>
      </c>
      <c r="H296" s="70">
        <v>1</v>
      </c>
    </row>
    <row r="297" spans="1:8" ht="27.75">
      <c r="A297" s="76"/>
      <c r="B297" s="71"/>
      <c r="C297" s="17" t="s">
        <v>113</v>
      </c>
      <c r="D297" s="89"/>
      <c r="E297" s="74"/>
      <c r="F297" s="76"/>
      <c r="G297" s="170"/>
      <c r="H297" s="76"/>
    </row>
    <row r="298" spans="1:8" ht="27.75">
      <c r="A298" s="70">
        <v>133</v>
      </c>
      <c r="B298" s="28" t="s">
        <v>9</v>
      </c>
      <c r="C298" s="10" t="s">
        <v>50</v>
      </c>
      <c r="D298" s="4" t="s">
        <v>11</v>
      </c>
      <c r="E298" s="151">
        <f>3000*1.07</f>
        <v>3210</v>
      </c>
      <c r="F298" s="101" t="s">
        <v>1246</v>
      </c>
      <c r="G298" s="160" t="s">
        <v>1251</v>
      </c>
      <c r="H298" s="70">
        <v>1</v>
      </c>
    </row>
    <row r="299" spans="1:8" ht="27.75">
      <c r="A299" s="76"/>
      <c r="B299" s="71"/>
      <c r="C299" s="72"/>
      <c r="D299" s="223"/>
      <c r="E299" s="74"/>
      <c r="F299" s="76"/>
      <c r="G299" s="170"/>
      <c r="H299" s="76"/>
    </row>
    <row r="300" spans="1:8" ht="27.75">
      <c r="A300" s="80">
        <v>134</v>
      </c>
      <c r="B300" s="162" t="s">
        <v>397</v>
      </c>
      <c r="C300" s="159" t="s">
        <v>684</v>
      </c>
      <c r="D300" s="163" t="s">
        <v>1252</v>
      </c>
      <c r="E300" s="155">
        <f>92000*1.07</f>
        <v>98440</v>
      </c>
      <c r="F300" s="116" t="s">
        <v>1246</v>
      </c>
      <c r="G300" s="160" t="s">
        <v>1253</v>
      </c>
      <c r="H300" s="80">
        <v>1</v>
      </c>
    </row>
    <row r="301" spans="1:8" ht="27.75">
      <c r="A301" s="76"/>
      <c r="B301" s="71"/>
      <c r="C301" s="72"/>
      <c r="D301" s="247" t="s">
        <v>1254</v>
      </c>
      <c r="E301" s="86"/>
      <c r="F301" s="76"/>
      <c r="G301" s="170"/>
      <c r="H301" s="76"/>
    </row>
    <row r="302" spans="1:8" ht="27.75">
      <c r="A302" s="70">
        <v>135</v>
      </c>
      <c r="B302" s="37" t="s">
        <v>27</v>
      </c>
      <c r="C302" s="159" t="s">
        <v>28</v>
      </c>
      <c r="D302" s="248" t="s">
        <v>1255</v>
      </c>
      <c r="E302" s="244">
        <f>48300*1.07</f>
        <v>51681</v>
      </c>
      <c r="F302" s="101" t="s">
        <v>1246</v>
      </c>
      <c r="G302" s="160" t="s">
        <v>1256</v>
      </c>
      <c r="H302" s="80">
        <v>1</v>
      </c>
    </row>
    <row r="303" spans="1:8" ht="27.75">
      <c r="A303" s="76"/>
      <c r="B303" s="71"/>
      <c r="C303" s="72"/>
      <c r="D303" s="89" t="s">
        <v>138</v>
      </c>
      <c r="E303" s="74"/>
      <c r="F303" s="76"/>
      <c r="G303" s="170"/>
      <c r="H303" s="80"/>
    </row>
    <row r="304" spans="1:8" ht="27.75">
      <c r="A304" s="80">
        <v>136</v>
      </c>
      <c r="B304" s="129" t="s">
        <v>14</v>
      </c>
      <c r="C304" s="10" t="s">
        <v>62</v>
      </c>
      <c r="D304" s="4" t="s">
        <v>1257</v>
      </c>
      <c r="E304" s="155">
        <f>5900*1.07</f>
        <v>6313</v>
      </c>
      <c r="F304" s="101" t="s">
        <v>1246</v>
      </c>
      <c r="G304" s="160" t="s">
        <v>1258</v>
      </c>
      <c r="H304" s="70">
        <v>1</v>
      </c>
    </row>
    <row r="305" spans="1:13" ht="27.75">
      <c r="A305" s="76"/>
      <c r="B305" s="71"/>
      <c r="C305" s="72"/>
      <c r="D305" s="89"/>
      <c r="E305" s="74"/>
      <c r="F305" s="76"/>
      <c r="G305" s="170"/>
      <c r="H305" s="76"/>
    </row>
    <row r="306" spans="1:13" s="150" customFormat="1" ht="27.75">
      <c r="A306" s="70">
        <v>137</v>
      </c>
      <c r="B306" s="162" t="s">
        <v>1473</v>
      </c>
      <c r="C306" s="159" t="s">
        <v>1474</v>
      </c>
      <c r="D306" s="2" t="s">
        <v>1475</v>
      </c>
      <c r="E306" s="155">
        <v>300000</v>
      </c>
      <c r="F306" s="116" t="s">
        <v>1246</v>
      </c>
      <c r="G306" s="175" t="s">
        <v>1476</v>
      </c>
      <c r="H306" s="70">
        <v>1</v>
      </c>
    </row>
    <row r="307" spans="1:13" s="150" customFormat="1" ht="27.75">
      <c r="A307" s="76"/>
      <c r="B307" s="76"/>
      <c r="C307" s="72"/>
      <c r="D307" s="89"/>
      <c r="E307" s="74"/>
      <c r="F307" s="76"/>
      <c r="G307" s="170"/>
      <c r="H307" s="76"/>
    </row>
    <row r="308" spans="1:13" s="150" customFormat="1" ht="27.75">
      <c r="A308" s="80">
        <v>138</v>
      </c>
      <c r="B308" s="260" t="s">
        <v>1477</v>
      </c>
      <c r="C308" s="77" t="s">
        <v>1080</v>
      </c>
      <c r="D308" s="82" t="s">
        <v>1478</v>
      </c>
      <c r="E308" s="261">
        <v>294785</v>
      </c>
      <c r="F308" s="116" t="s">
        <v>1246</v>
      </c>
      <c r="G308" s="175" t="s">
        <v>1479</v>
      </c>
      <c r="H308" s="70">
        <v>1</v>
      </c>
    </row>
    <row r="309" spans="1:13" s="150" customFormat="1" ht="27.75">
      <c r="A309" s="76"/>
      <c r="B309" s="84"/>
      <c r="C309" s="77"/>
      <c r="D309" s="82"/>
      <c r="E309" s="83"/>
      <c r="F309" s="80"/>
      <c r="G309" s="175"/>
      <c r="H309" s="76"/>
      <c r="K309" s="78"/>
      <c r="M309" s="78"/>
    </row>
    <row r="310" spans="1:13" ht="27.75">
      <c r="A310" s="70">
        <v>139</v>
      </c>
      <c r="B310" s="198" t="s">
        <v>1259</v>
      </c>
      <c r="C310" s="10" t="s">
        <v>911</v>
      </c>
      <c r="D310" s="211" t="s">
        <v>1260</v>
      </c>
      <c r="E310" s="151">
        <f>14000*1.07</f>
        <v>14980</v>
      </c>
      <c r="F310" s="101" t="s">
        <v>1261</v>
      </c>
      <c r="G310" s="181" t="s">
        <v>1262</v>
      </c>
      <c r="H310" s="70">
        <v>1</v>
      </c>
    </row>
    <row r="311" spans="1:13" ht="27.75">
      <c r="A311" s="76"/>
      <c r="B311" s="71"/>
      <c r="C311" s="72"/>
      <c r="D311" s="73"/>
      <c r="E311" s="74"/>
      <c r="F311" s="76"/>
      <c r="G311" s="170"/>
      <c r="H311" s="76"/>
    </row>
    <row r="312" spans="1:13" ht="27.75">
      <c r="A312" s="70">
        <v>140</v>
      </c>
      <c r="B312" s="129" t="s">
        <v>14</v>
      </c>
      <c r="C312" s="10" t="s">
        <v>15</v>
      </c>
      <c r="D312" s="152" t="s">
        <v>1263</v>
      </c>
      <c r="E312" s="161">
        <f>500*1.07</f>
        <v>535</v>
      </c>
      <c r="F312" s="101" t="s">
        <v>1261</v>
      </c>
      <c r="G312" s="108" t="s">
        <v>1264</v>
      </c>
      <c r="H312" s="70">
        <v>1</v>
      </c>
    </row>
    <row r="313" spans="1:13" ht="27.75">
      <c r="A313" s="76"/>
      <c r="B313" s="71"/>
      <c r="C313" s="72"/>
      <c r="D313" s="73" t="s">
        <v>138</v>
      </c>
      <c r="E313" s="74"/>
      <c r="F313" s="76"/>
      <c r="G313" s="170"/>
      <c r="H313" s="76"/>
    </row>
    <row r="314" spans="1:13" s="43" customFormat="1" ht="27.75">
      <c r="A314" s="84"/>
      <c r="B314" s="84"/>
      <c r="C314" s="78"/>
      <c r="D314" s="78"/>
      <c r="E314" s="94"/>
      <c r="F314" s="84"/>
      <c r="G314" s="84"/>
      <c r="H314" s="84"/>
    </row>
    <row r="315" spans="1:13" ht="30.75" customHeight="1">
      <c r="A315" s="345" t="s">
        <v>561</v>
      </c>
      <c r="B315" s="347" t="s">
        <v>0</v>
      </c>
      <c r="C315" s="349" t="s">
        <v>1</v>
      </c>
      <c r="D315" s="336" t="s">
        <v>2</v>
      </c>
      <c r="E315" s="345" t="s">
        <v>3</v>
      </c>
      <c r="F315" s="340" t="s">
        <v>4</v>
      </c>
      <c r="G315" s="344"/>
      <c r="H315" s="336" t="s">
        <v>5</v>
      </c>
    </row>
    <row r="316" spans="1:13" ht="57.75" customHeight="1">
      <c r="A316" s="346"/>
      <c r="B316" s="348"/>
      <c r="C316" s="350"/>
      <c r="D316" s="337"/>
      <c r="E316" s="346"/>
      <c r="F316" s="283" t="s">
        <v>6</v>
      </c>
      <c r="G316" s="283" t="s">
        <v>7</v>
      </c>
      <c r="H316" s="337"/>
    </row>
    <row r="317" spans="1:13" ht="27.75">
      <c r="A317" s="70">
        <v>141</v>
      </c>
      <c r="B317" s="126" t="s">
        <v>183</v>
      </c>
      <c r="C317" s="10" t="s">
        <v>70</v>
      </c>
      <c r="D317" s="152" t="s">
        <v>1265</v>
      </c>
      <c r="E317" s="151">
        <f>40500*1.07</f>
        <v>43335</v>
      </c>
      <c r="F317" s="101" t="s">
        <v>1261</v>
      </c>
      <c r="G317" s="108" t="s">
        <v>1266</v>
      </c>
      <c r="H317" s="70">
        <v>1</v>
      </c>
    </row>
    <row r="318" spans="1:13" ht="27.75" customHeight="1">
      <c r="A318" s="76"/>
      <c r="B318" s="71"/>
      <c r="C318" s="72"/>
      <c r="D318" s="73"/>
      <c r="E318" s="74"/>
      <c r="F318" s="76"/>
      <c r="G318" s="170"/>
      <c r="H318" s="76"/>
    </row>
    <row r="319" spans="1:13" ht="27.75">
      <c r="A319" s="80">
        <v>142</v>
      </c>
      <c r="B319" s="198" t="s">
        <v>58</v>
      </c>
      <c r="C319" s="10" t="s">
        <v>270</v>
      </c>
      <c r="D319" s="152" t="s">
        <v>1267</v>
      </c>
      <c r="E319" s="151">
        <f>72000*1.07</f>
        <v>77040</v>
      </c>
      <c r="F319" s="101" t="s">
        <v>1261</v>
      </c>
      <c r="G319" s="181" t="s">
        <v>1268</v>
      </c>
      <c r="H319" s="70">
        <v>1</v>
      </c>
    </row>
    <row r="320" spans="1:13" ht="27.75">
      <c r="A320" s="76"/>
      <c r="B320" s="85"/>
      <c r="C320" s="72"/>
      <c r="D320" s="89"/>
      <c r="E320" s="86"/>
      <c r="F320" s="178"/>
      <c r="G320" s="170"/>
      <c r="H320" s="76"/>
    </row>
    <row r="321" spans="1:8" ht="27.75">
      <c r="A321" s="70">
        <v>143</v>
      </c>
      <c r="B321" s="162" t="s">
        <v>1269</v>
      </c>
      <c r="C321" s="159" t="s">
        <v>1270</v>
      </c>
      <c r="D321" s="10" t="s">
        <v>1271</v>
      </c>
      <c r="E321" s="1">
        <f>93410*1.07</f>
        <v>99948.700000000012</v>
      </c>
      <c r="F321" s="101" t="s">
        <v>1272</v>
      </c>
      <c r="G321" s="160" t="s">
        <v>1273</v>
      </c>
      <c r="H321" s="70">
        <v>1</v>
      </c>
    </row>
    <row r="322" spans="1:8" ht="27.75">
      <c r="A322" s="76"/>
      <c r="B322" s="81"/>
      <c r="C322" s="77"/>
      <c r="D322" s="77" t="s">
        <v>138</v>
      </c>
      <c r="E322" s="94"/>
      <c r="F322" s="80"/>
      <c r="G322" s="175"/>
      <c r="H322" s="76"/>
    </row>
    <row r="323" spans="1:8" ht="27.75">
      <c r="A323" s="80">
        <v>144</v>
      </c>
      <c r="B323" s="250" t="s">
        <v>124</v>
      </c>
      <c r="C323" s="10" t="s">
        <v>290</v>
      </c>
      <c r="D323" s="10" t="s">
        <v>1274</v>
      </c>
      <c r="E323" s="11">
        <f xml:space="preserve"> 92700*1.07</f>
        <v>99189</v>
      </c>
      <c r="F323" s="101" t="s">
        <v>1272</v>
      </c>
      <c r="G323" s="181" t="s">
        <v>1275</v>
      </c>
      <c r="H323" s="70">
        <v>1</v>
      </c>
    </row>
    <row r="324" spans="1:8" ht="27.75">
      <c r="A324" s="76"/>
      <c r="B324" s="71"/>
      <c r="C324" s="17"/>
      <c r="D324" s="72"/>
      <c r="E324" s="104"/>
      <c r="F324" s="76"/>
      <c r="G324" s="170"/>
      <c r="H324" s="76"/>
    </row>
    <row r="325" spans="1:8" ht="27.75">
      <c r="A325" s="70">
        <v>145</v>
      </c>
      <c r="B325" s="162" t="s">
        <v>1244</v>
      </c>
      <c r="C325" s="10" t="s">
        <v>501</v>
      </c>
      <c r="D325" s="10" t="s">
        <v>1276</v>
      </c>
      <c r="E325" s="1">
        <f>75000*1.07</f>
        <v>80250</v>
      </c>
      <c r="F325" s="101" t="s">
        <v>1272</v>
      </c>
      <c r="G325" s="160" t="s">
        <v>1277</v>
      </c>
      <c r="H325" s="70">
        <v>1</v>
      </c>
    </row>
    <row r="326" spans="1:8" ht="27.75">
      <c r="A326" s="76"/>
      <c r="B326" s="71"/>
      <c r="C326" s="72"/>
      <c r="D326" s="72"/>
      <c r="E326" s="104"/>
      <c r="F326" s="76"/>
      <c r="G326" s="170"/>
      <c r="H326" s="76"/>
    </row>
    <row r="327" spans="1:8" ht="27.75">
      <c r="A327" s="80">
        <v>146</v>
      </c>
      <c r="B327" s="162" t="s">
        <v>1278</v>
      </c>
      <c r="C327" s="159" t="s">
        <v>820</v>
      </c>
      <c r="D327" s="159" t="s">
        <v>1279</v>
      </c>
      <c r="E327" s="1">
        <f>44000*1.07</f>
        <v>47080</v>
      </c>
      <c r="F327" s="101" t="s">
        <v>1272</v>
      </c>
      <c r="G327" s="160" t="s">
        <v>1280</v>
      </c>
      <c r="H327" s="70">
        <v>1</v>
      </c>
    </row>
    <row r="328" spans="1:8" ht="27.75">
      <c r="A328" s="76"/>
      <c r="B328" s="81"/>
      <c r="C328" s="77"/>
      <c r="D328" s="77" t="s">
        <v>138</v>
      </c>
      <c r="E328" s="94"/>
      <c r="F328" s="80"/>
      <c r="G328" s="175"/>
      <c r="H328" s="76"/>
    </row>
    <row r="329" spans="1:8" ht="27.75">
      <c r="A329" s="70">
        <v>147</v>
      </c>
      <c r="B329" s="250" t="s">
        <v>124</v>
      </c>
      <c r="C329" s="10" t="s">
        <v>290</v>
      </c>
      <c r="D329" s="10" t="s">
        <v>690</v>
      </c>
      <c r="E329" s="251">
        <f>88200*1.07</f>
        <v>94374</v>
      </c>
      <c r="F329" s="101" t="s">
        <v>1272</v>
      </c>
      <c r="G329" s="181" t="s">
        <v>1281</v>
      </c>
      <c r="H329" s="70">
        <v>1</v>
      </c>
    </row>
    <row r="330" spans="1:8" ht="27.75">
      <c r="A330" s="76"/>
      <c r="B330" s="71"/>
      <c r="C330" s="72"/>
      <c r="D330" s="169"/>
      <c r="E330" s="104"/>
      <c r="F330" s="76"/>
      <c r="G330" s="170"/>
      <c r="H330" s="76"/>
    </row>
    <row r="331" spans="1:8" ht="27.75">
      <c r="A331" s="80">
        <v>148</v>
      </c>
      <c r="B331" s="252" t="s">
        <v>100</v>
      </c>
      <c r="C331" s="159" t="s">
        <v>101</v>
      </c>
      <c r="D331" s="159" t="s">
        <v>471</v>
      </c>
      <c r="E331" s="1">
        <f>80000*1.07</f>
        <v>85600</v>
      </c>
      <c r="F331" s="101" t="s">
        <v>1272</v>
      </c>
      <c r="G331" s="160" t="s">
        <v>1282</v>
      </c>
      <c r="H331" s="70">
        <v>1</v>
      </c>
    </row>
    <row r="332" spans="1:8" ht="27.75">
      <c r="A332" s="76"/>
      <c r="B332" s="71"/>
      <c r="C332" s="72"/>
      <c r="D332" s="169"/>
      <c r="E332" s="206"/>
      <c r="F332" s="76"/>
      <c r="G332" s="170"/>
      <c r="H332" s="76"/>
    </row>
    <row r="333" spans="1:8" ht="27.75">
      <c r="A333" s="70">
        <v>149</v>
      </c>
      <c r="B333" s="162" t="s">
        <v>1283</v>
      </c>
      <c r="C333" s="10" t="s">
        <v>1284</v>
      </c>
      <c r="D333" s="152" t="s">
        <v>1285</v>
      </c>
      <c r="E333" s="151">
        <f>25094*1.07</f>
        <v>26850.58</v>
      </c>
      <c r="F333" s="101" t="s">
        <v>1272</v>
      </c>
      <c r="G333" s="181" t="s">
        <v>1286</v>
      </c>
      <c r="H333" s="70">
        <v>1</v>
      </c>
    </row>
    <row r="334" spans="1:8" ht="27.75">
      <c r="A334" s="76"/>
      <c r="B334" s="71"/>
      <c r="C334" s="72"/>
      <c r="D334" s="18"/>
      <c r="E334" s="74"/>
      <c r="F334" s="76"/>
      <c r="G334" s="170"/>
      <c r="H334" s="76"/>
    </row>
    <row r="335" spans="1:8" ht="27.75">
      <c r="A335" s="80">
        <v>150</v>
      </c>
      <c r="B335" s="26" t="s">
        <v>1287</v>
      </c>
      <c r="C335" s="10" t="s">
        <v>1288</v>
      </c>
      <c r="D335" s="152" t="s">
        <v>1289</v>
      </c>
      <c r="E335" s="151">
        <f>29300*1.07</f>
        <v>31351.000000000004</v>
      </c>
      <c r="F335" s="101" t="s">
        <v>1272</v>
      </c>
      <c r="G335" s="181" t="s">
        <v>1290</v>
      </c>
      <c r="H335" s="70">
        <v>1</v>
      </c>
    </row>
    <row r="336" spans="1:8" ht="27.75">
      <c r="A336" s="76"/>
      <c r="B336" s="71"/>
      <c r="C336" s="17" t="s">
        <v>1097</v>
      </c>
      <c r="D336" s="73" t="s">
        <v>138</v>
      </c>
      <c r="E336" s="74"/>
      <c r="F336" s="76"/>
      <c r="G336" s="170"/>
      <c r="H336" s="76"/>
    </row>
    <row r="337" spans="1:10" ht="27.75">
      <c r="A337" s="70">
        <v>151</v>
      </c>
      <c r="B337" s="129" t="s">
        <v>14</v>
      </c>
      <c r="C337" s="159" t="s">
        <v>15</v>
      </c>
      <c r="D337" s="235" t="s">
        <v>1291</v>
      </c>
      <c r="E337" s="155">
        <f>8100*1.07</f>
        <v>8667</v>
      </c>
      <c r="F337" s="116" t="s">
        <v>1272</v>
      </c>
      <c r="G337" s="175" t="s">
        <v>1292</v>
      </c>
      <c r="H337" s="70">
        <v>1</v>
      </c>
    </row>
    <row r="338" spans="1:10" ht="27.75">
      <c r="A338" s="76"/>
      <c r="B338" s="71"/>
      <c r="C338" s="72"/>
      <c r="D338" s="18"/>
      <c r="E338" s="74"/>
      <c r="F338" s="76"/>
      <c r="G338" s="170"/>
      <c r="H338" s="76"/>
    </row>
    <row r="339" spans="1:10" ht="27.75">
      <c r="A339" s="70">
        <v>152</v>
      </c>
      <c r="B339" s="253" t="s">
        <v>1293</v>
      </c>
      <c r="C339" s="159" t="s">
        <v>1294</v>
      </c>
      <c r="D339" s="2" t="s">
        <v>1295</v>
      </c>
      <c r="E339" s="155">
        <f>9500*1.07</f>
        <v>10165</v>
      </c>
      <c r="F339" s="101" t="s">
        <v>1272</v>
      </c>
      <c r="G339" s="175" t="s">
        <v>1296</v>
      </c>
      <c r="H339" s="70">
        <v>1</v>
      </c>
    </row>
    <row r="340" spans="1:10" ht="27.75">
      <c r="A340" s="76"/>
      <c r="B340" s="19"/>
      <c r="C340" s="72"/>
      <c r="D340" s="73"/>
      <c r="E340" s="74"/>
      <c r="F340" s="76"/>
      <c r="G340" s="170"/>
      <c r="H340" s="76"/>
    </row>
    <row r="341" spans="1:10" ht="27.75">
      <c r="A341" s="70">
        <v>153</v>
      </c>
      <c r="B341" s="162" t="s">
        <v>1297</v>
      </c>
      <c r="C341" s="159" t="s">
        <v>1298</v>
      </c>
      <c r="D341" s="2" t="s">
        <v>1299</v>
      </c>
      <c r="E341" s="155">
        <f>4250*1.07</f>
        <v>4547.5</v>
      </c>
      <c r="F341" s="101" t="s">
        <v>1272</v>
      </c>
      <c r="G341" s="175" t="s">
        <v>1300</v>
      </c>
      <c r="H341" s="70">
        <v>1</v>
      </c>
    </row>
    <row r="342" spans="1:10" ht="27.75">
      <c r="A342" s="76"/>
      <c r="B342" s="71"/>
      <c r="C342" s="72"/>
      <c r="D342" s="89"/>
      <c r="E342" s="74"/>
      <c r="F342" s="76"/>
      <c r="G342" s="170"/>
      <c r="H342" s="76"/>
    </row>
    <row r="343" spans="1:10" s="150" customFormat="1" ht="27.75">
      <c r="A343" s="70">
        <v>154</v>
      </c>
      <c r="B343" s="185" t="s">
        <v>1473</v>
      </c>
      <c r="C343" s="10" t="s">
        <v>1474</v>
      </c>
      <c r="D343" s="262" t="s">
        <v>1480</v>
      </c>
      <c r="E343" s="263">
        <v>133750</v>
      </c>
      <c r="F343" s="101" t="s">
        <v>1272</v>
      </c>
      <c r="G343" s="181" t="s">
        <v>1481</v>
      </c>
      <c r="H343" s="70">
        <v>1</v>
      </c>
      <c r="J343" s="78"/>
    </row>
    <row r="344" spans="1:10" s="150" customFormat="1" ht="27.75">
      <c r="A344" s="76"/>
      <c r="B344" s="75"/>
      <c r="C344" s="72"/>
      <c r="D344" s="89"/>
      <c r="E344" s="74"/>
      <c r="F344" s="76"/>
      <c r="G344" s="170"/>
      <c r="H344" s="80"/>
      <c r="J344" s="78"/>
    </row>
    <row r="345" spans="1:10" ht="27.75">
      <c r="A345" s="70">
        <v>155</v>
      </c>
      <c r="B345" s="162" t="s">
        <v>841</v>
      </c>
      <c r="C345" s="10" t="s">
        <v>1301</v>
      </c>
      <c r="D345" s="152" t="s">
        <v>1302</v>
      </c>
      <c r="E345" s="151">
        <f>12900*1.07</f>
        <v>13803</v>
      </c>
      <c r="F345" s="101" t="s">
        <v>1303</v>
      </c>
      <c r="G345" s="175" t="s">
        <v>1304</v>
      </c>
      <c r="H345" s="70">
        <v>1</v>
      </c>
    </row>
    <row r="346" spans="1:10" ht="27.75">
      <c r="A346" s="76"/>
      <c r="B346" s="71"/>
      <c r="C346" s="17" t="s">
        <v>1305</v>
      </c>
      <c r="D346" s="89"/>
      <c r="E346" s="74"/>
      <c r="F346" s="76"/>
      <c r="G346" s="170"/>
      <c r="H346" s="76"/>
    </row>
    <row r="347" spans="1:10" ht="27.75">
      <c r="A347" s="70">
        <v>156</v>
      </c>
      <c r="B347" s="185" t="s">
        <v>907</v>
      </c>
      <c r="C347" s="10" t="s">
        <v>908</v>
      </c>
      <c r="D347" s="152" t="s">
        <v>1306</v>
      </c>
      <c r="E347" s="151">
        <f>3000*1.07</f>
        <v>3210</v>
      </c>
      <c r="F347" s="101" t="s">
        <v>1303</v>
      </c>
      <c r="G347" s="181" t="s">
        <v>1307</v>
      </c>
      <c r="H347" s="70">
        <v>1</v>
      </c>
    </row>
    <row r="348" spans="1:10" ht="27.75">
      <c r="A348" s="76"/>
      <c r="B348" s="71"/>
      <c r="C348" s="72"/>
      <c r="D348" s="73" t="s">
        <v>138</v>
      </c>
      <c r="E348" s="74"/>
      <c r="F348" s="76"/>
      <c r="G348" s="170"/>
      <c r="H348" s="76"/>
    </row>
    <row r="349" spans="1:10" s="43" customFormat="1" ht="27.75">
      <c r="A349" s="84"/>
      <c r="B349" s="84"/>
      <c r="C349" s="78"/>
      <c r="D349" s="78"/>
      <c r="E349" s="94"/>
      <c r="F349" s="84"/>
      <c r="G349" s="84"/>
      <c r="H349" s="84"/>
    </row>
    <row r="350" spans="1:10" ht="30.75" customHeight="1">
      <c r="A350" s="345" t="s">
        <v>561</v>
      </c>
      <c r="B350" s="347" t="s">
        <v>0</v>
      </c>
      <c r="C350" s="349" t="s">
        <v>1</v>
      </c>
      <c r="D350" s="336" t="s">
        <v>2</v>
      </c>
      <c r="E350" s="345" t="s">
        <v>3</v>
      </c>
      <c r="F350" s="340" t="s">
        <v>4</v>
      </c>
      <c r="G350" s="344"/>
      <c r="H350" s="336" t="s">
        <v>5</v>
      </c>
    </row>
    <row r="351" spans="1:10" ht="57.75" customHeight="1">
      <c r="A351" s="346"/>
      <c r="B351" s="348"/>
      <c r="C351" s="350"/>
      <c r="D351" s="337"/>
      <c r="E351" s="346"/>
      <c r="F351" s="283" t="s">
        <v>6</v>
      </c>
      <c r="G351" s="283" t="s">
        <v>7</v>
      </c>
      <c r="H351" s="337"/>
    </row>
    <row r="352" spans="1:10" ht="27.75" customHeight="1">
      <c r="A352" s="70">
        <v>157</v>
      </c>
      <c r="B352" s="133" t="s">
        <v>124</v>
      </c>
      <c r="C352" s="10" t="s">
        <v>290</v>
      </c>
      <c r="D352" s="152" t="s">
        <v>1308</v>
      </c>
      <c r="E352" s="168">
        <f>93450*1.07</f>
        <v>99991.5</v>
      </c>
      <c r="F352" s="101" t="s">
        <v>1303</v>
      </c>
      <c r="G352" s="181" t="s">
        <v>1309</v>
      </c>
      <c r="H352" s="70">
        <v>1</v>
      </c>
    </row>
    <row r="353" spans="1:8" ht="27.75">
      <c r="A353" s="76"/>
      <c r="B353" s="71"/>
      <c r="C353" s="72"/>
      <c r="D353" s="89"/>
      <c r="E353" s="74"/>
      <c r="F353" s="76"/>
      <c r="G353" s="170"/>
      <c r="H353" s="76"/>
    </row>
    <row r="354" spans="1:8" ht="27.75">
      <c r="A354" s="70">
        <v>158</v>
      </c>
      <c r="B354" s="162" t="s">
        <v>854</v>
      </c>
      <c r="C354" s="159" t="s">
        <v>1310</v>
      </c>
      <c r="D354" s="235" t="s">
        <v>1311</v>
      </c>
      <c r="E354" s="244">
        <f>78240*1.07</f>
        <v>83716.800000000003</v>
      </c>
      <c r="F354" s="101" t="s">
        <v>1303</v>
      </c>
      <c r="G354" s="175" t="s">
        <v>1312</v>
      </c>
      <c r="H354" s="70">
        <v>1</v>
      </c>
    </row>
    <row r="355" spans="1:8" ht="27.75">
      <c r="A355" s="76"/>
      <c r="B355" s="90"/>
      <c r="C355" s="77"/>
      <c r="D355" s="254"/>
      <c r="E355" s="79"/>
      <c r="F355" s="220"/>
      <c r="G355" s="175"/>
      <c r="H355" s="76"/>
    </row>
    <row r="356" spans="1:8" ht="27.75">
      <c r="A356" s="70">
        <v>159</v>
      </c>
      <c r="B356" s="253" t="s">
        <v>397</v>
      </c>
      <c r="C356" s="10" t="s">
        <v>398</v>
      </c>
      <c r="D356" s="152" t="s">
        <v>1313</v>
      </c>
      <c r="E356" s="151">
        <f>26440*1.07</f>
        <v>28290.800000000003</v>
      </c>
      <c r="F356" s="106" t="s">
        <v>1303</v>
      </c>
      <c r="G356" s="70" t="s">
        <v>1314</v>
      </c>
      <c r="H356" s="181">
        <v>1</v>
      </c>
    </row>
    <row r="357" spans="1:8" ht="27.75">
      <c r="A357" s="76"/>
      <c r="B357" s="76"/>
      <c r="C357" s="72"/>
      <c r="D357" s="18" t="s">
        <v>1315</v>
      </c>
      <c r="E357" s="74"/>
      <c r="F357" s="71"/>
      <c r="G357" s="76"/>
      <c r="H357" s="170"/>
    </row>
    <row r="358" spans="1:8" ht="27.75">
      <c r="A358" s="70">
        <v>160</v>
      </c>
      <c r="B358" s="44" t="s">
        <v>40</v>
      </c>
      <c r="C358" s="159" t="s">
        <v>594</v>
      </c>
      <c r="D358" s="2" t="s">
        <v>1316</v>
      </c>
      <c r="E358" s="155">
        <f>38000*1.07</f>
        <v>40660</v>
      </c>
      <c r="F358" s="116" t="s">
        <v>1303</v>
      </c>
      <c r="G358" s="175" t="s">
        <v>1317</v>
      </c>
      <c r="H358" s="70">
        <v>1</v>
      </c>
    </row>
    <row r="359" spans="1:8" ht="27.75">
      <c r="A359" s="76"/>
      <c r="B359" s="81"/>
      <c r="C359" s="72"/>
      <c r="D359" s="82"/>
      <c r="E359" s="74"/>
      <c r="F359" s="76"/>
      <c r="G359" s="76"/>
      <c r="H359" s="76"/>
    </row>
    <row r="360" spans="1:8" ht="27.75">
      <c r="A360" s="70">
        <v>161</v>
      </c>
      <c r="B360" s="22" t="s">
        <v>1318</v>
      </c>
      <c r="C360" s="10" t="s">
        <v>505</v>
      </c>
      <c r="D360" s="154" t="s">
        <v>1319</v>
      </c>
      <c r="E360" s="1">
        <f>20488*1.07</f>
        <v>21922.16</v>
      </c>
      <c r="F360" s="116" t="s">
        <v>1320</v>
      </c>
      <c r="G360" s="160" t="s">
        <v>1321</v>
      </c>
      <c r="H360" s="70">
        <v>1</v>
      </c>
    </row>
    <row r="361" spans="1:8" ht="27.75">
      <c r="A361" s="76"/>
      <c r="B361" s="76"/>
      <c r="C361" s="72"/>
      <c r="D361" s="93"/>
      <c r="E361" s="206"/>
      <c r="F361" s="76"/>
      <c r="G361" s="76"/>
      <c r="H361" s="76"/>
    </row>
    <row r="362" spans="1:8" ht="27.75">
      <c r="A362" s="70">
        <v>162</v>
      </c>
      <c r="B362" s="162" t="s">
        <v>1027</v>
      </c>
      <c r="C362" s="159" t="s">
        <v>1322</v>
      </c>
      <c r="D362" s="4" t="s">
        <v>1029</v>
      </c>
      <c r="E362" s="151">
        <f>90000*1.07</f>
        <v>96300</v>
      </c>
      <c r="F362" s="116" t="s">
        <v>1320</v>
      </c>
      <c r="G362" s="160" t="s">
        <v>1323</v>
      </c>
      <c r="H362" s="70">
        <v>1</v>
      </c>
    </row>
    <row r="363" spans="1:8" ht="27.75">
      <c r="A363" s="76"/>
      <c r="B363" s="137"/>
      <c r="C363" s="77"/>
      <c r="D363" s="2"/>
      <c r="E363" s="83"/>
      <c r="F363" s="80"/>
      <c r="G363" s="84"/>
      <c r="H363" s="80"/>
    </row>
    <row r="364" spans="1:8" ht="27.75">
      <c r="A364" s="70">
        <v>163</v>
      </c>
      <c r="B364" s="134" t="s">
        <v>1324</v>
      </c>
      <c r="C364" s="10" t="s">
        <v>1325</v>
      </c>
      <c r="D364" s="152" t="s">
        <v>1326</v>
      </c>
      <c r="E364" s="151">
        <f>36000*1.07</f>
        <v>38520</v>
      </c>
      <c r="F364" s="101" t="s">
        <v>1320</v>
      </c>
      <c r="G364" s="108" t="s">
        <v>1327</v>
      </c>
      <c r="H364" s="70">
        <v>1</v>
      </c>
    </row>
    <row r="365" spans="1:8" ht="27.75">
      <c r="A365" s="76"/>
      <c r="B365" s="76"/>
      <c r="C365" s="72"/>
      <c r="D365" s="73" t="s">
        <v>19</v>
      </c>
      <c r="E365" s="74"/>
      <c r="F365" s="76"/>
      <c r="G365" s="75"/>
      <c r="H365" s="76"/>
    </row>
    <row r="366" spans="1:8" ht="27.75">
      <c r="A366" s="70">
        <v>164</v>
      </c>
      <c r="B366" s="37" t="s">
        <v>27</v>
      </c>
      <c r="C366" s="159" t="s">
        <v>28</v>
      </c>
      <c r="D366" s="163" t="s">
        <v>1328</v>
      </c>
      <c r="E366" s="155">
        <f>44800*1.07</f>
        <v>47936</v>
      </c>
      <c r="F366" s="116" t="s">
        <v>1320</v>
      </c>
      <c r="G366" s="160" t="s">
        <v>1329</v>
      </c>
      <c r="H366" s="80">
        <v>1</v>
      </c>
    </row>
    <row r="367" spans="1:8" ht="27.75">
      <c r="A367" s="76"/>
      <c r="B367" s="71"/>
      <c r="C367" s="72"/>
      <c r="D367" s="89"/>
      <c r="E367" s="74"/>
      <c r="F367" s="76"/>
      <c r="G367" s="75"/>
      <c r="H367" s="76"/>
    </row>
    <row r="368" spans="1:8" s="150" customFormat="1" ht="27.75">
      <c r="A368" s="70">
        <v>165</v>
      </c>
      <c r="B368" s="162" t="s">
        <v>1330</v>
      </c>
      <c r="C368" s="159" t="s">
        <v>1167</v>
      </c>
      <c r="D368" s="4" t="s">
        <v>1331</v>
      </c>
      <c r="E368" s="155">
        <f>92000*1.07</f>
        <v>98440</v>
      </c>
      <c r="F368" s="116" t="s">
        <v>1320</v>
      </c>
      <c r="G368" s="160" t="s">
        <v>1332</v>
      </c>
      <c r="H368" s="70">
        <v>1</v>
      </c>
    </row>
    <row r="369" spans="1:12" s="150" customFormat="1" ht="27.75">
      <c r="A369" s="76"/>
      <c r="B369" s="71"/>
      <c r="C369" s="72"/>
      <c r="D369" s="73"/>
      <c r="E369" s="74"/>
      <c r="F369" s="76"/>
      <c r="G369" s="75"/>
      <c r="H369" s="76"/>
    </row>
    <row r="370" spans="1:12" s="150" customFormat="1" ht="27.75">
      <c r="A370" s="70">
        <v>166</v>
      </c>
      <c r="B370" s="28" t="s">
        <v>9</v>
      </c>
      <c r="C370" s="159" t="s">
        <v>50</v>
      </c>
      <c r="D370" s="4" t="s">
        <v>1333</v>
      </c>
      <c r="E370" s="155">
        <f>9830*1.07</f>
        <v>10518.1</v>
      </c>
      <c r="F370" s="116" t="s">
        <v>1320</v>
      </c>
      <c r="G370" s="160" t="s">
        <v>1334</v>
      </c>
      <c r="H370" s="70">
        <v>1</v>
      </c>
    </row>
    <row r="371" spans="1:12" s="150" customFormat="1" ht="27.75">
      <c r="A371" s="76"/>
      <c r="B371" s="85"/>
      <c r="C371" s="77"/>
      <c r="D371" s="78" t="s">
        <v>1335</v>
      </c>
      <c r="E371" s="83"/>
      <c r="F371" s="80"/>
      <c r="G371" s="84"/>
      <c r="H371" s="80"/>
    </row>
    <row r="372" spans="1:12" s="150" customFormat="1" ht="27.75">
      <c r="A372" s="70">
        <v>167</v>
      </c>
      <c r="B372" s="226" t="s">
        <v>54</v>
      </c>
      <c r="C372" s="10" t="s">
        <v>243</v>
      </c>
      <c r="D372" s="152" t="s">
        <v>1336</v>
      </c>
      <c r="E372" s="161">
        <f>310*1.07</f>
        <v>331.70000000000005</v>
      </c>
      <c r="F372" s="101" t="s">
        <v>1337</v>
      </c>
      <c r="G372" s="108" t="s">
        <v>1338</v>
      </c>
      <c r="H372" s="70">
        <v>1</v>
      </c>
    </row>
    <row r="373" spans="1:12" s="150" customFormat="1" ht="27.75">
      <c r="A373" s="76"/>
      <c r="B373" s="81"/>
      <c r="C373" s="77"/>
      <c r="D373" s="254"/>
      <c r="E373" s="83"/>
      <c r="F373" s="80"/>
      <c r="G373" s="84"/>
      <c r="H373" s="80"/>
    </row>
    <row r="374" spans="1:12" s="150" customFormat="1" ht="27.75">
      <c r="A374" s="70">
        <v>168</v>
      </c>
      <c r="B374" s="122" t="s">
        <v>54</v>
      </c>
      <c r="C374" s="10" t="s">
        <v>55</v>
      </c>
      <c r="D374" s="10" t="s">
        <v>1339</v>
      </c>
      <c r="E374" s="11">
        <f>13000*1.07</f>
        <v>13910</v>
      </c>
      <c r="F374" s="101" t="s">
        <v>1337</v>
      </c>
      <c r="G374" s="70" t="s">
        <v>1340</v>
      </c>
      <c r="H374" s="181">
        <v>1</v>
      </c>
    </row>
    <row r="375" spans="1:12" s="150" customFormat="1" ht="27.75">
      <c r="A375" s="76"/>
      <c r="B375" s="71"/>
      <c r="C375" s="72"/>
      <c r="D375" s="169"/>
      <c r="E375" s="104"/>
      <c r="F375" s="76"/>
      <c r="G375" s="76"/>
      <c r="H375" s="170"/>
    </row>
    <row r="376" spans="1:12" s="150" customFormat="1" ht="27.75">
      <c r="A376" s="70">
        <v>169</v>
      </c>
      <c r="B376" s="198" t="s">
        <v>45</v>
      </c>
      <c r="C376" s="10" t="s">
        <v>1341</v>
      </c>
      <c r="D376" s="10" t="s">
        <v>1342</v>
      </c>
      <c r="E376" s="11">
        <f>36400*1.07</f>
        <v>38948</v>
      </c>
      <c r="F376" s="101" t="s">
        <v>1337</v>
      </c>
      <c r="G376" s="70" t="s">
        <v>1343</v>
      </c>
      <c r="H376" s="181">
        <v>1</v>
      </c>
    </row>
    <row r="377" spans="1:12" s="150" customFormat="1" ht="27.75">
      <c r="A377" s="76"/>
      <c r="B377" s="71"/>
      <c r="C377" s="72"/>
      <c r="D377" s="169"/>
      <c r="E377" s="104"/>
      <c r="F377" s="76"/>
      <c r="G377" s="76"/>
      <c r="H377" s="170"/>
    </row>
    <row r="378" spans="1:12" s="150" customFormat="1" ht="27.75">
      <c r="A378" s="70">
        <v>170</v>
      </c>
      <c r="B378" s="119" t="s">
        <v>124</v>
      </c>
      <c r="C378" s="113" t="s">
        <v>125</v>
      </c>
      <c r="D378" s="241" t="s">
        <v>1482</v>
      </c>
      <c r="E378" s="263">
        <v>395557.6</v>
      </c>
      <c r="F378" s="101" t="s">
        <v>1337</v>
      </c>
      <c r="G378" s="181" t="s">
        <v>1483</v>
      </c>
      <c r="H378" s="70">
        <v>1</v>
      </c>
      <c r="L378" s="141"/>
    </row>
    <row r="379" spans="1:12" s="150" customFormat="1" ht="27.75">
      <c r="A379" s="76"/>
      <c r="B379" s="75"/>
      <c r="C379" s="115"/>
      <c r="D379" s="169"/>
      <c r="E379" s="74"/>
      <c r="F379" s="76"/>
      <c r="G379" s="170"/>
      <c r="H379" s="76"/>
    </row>
    <row r="380" spans="1:12" s="150" customFormat="1" ht="27.75">
      <c r="A380" s="70">
        <v>171</v>
      </c>
      <c r="B380" s="119" t="s">
        <v>124</v>
      </c>
      <c r="C380" s="113" t="s">
        <v>125</v>
      </c>
      <c r="D380" s="241" t="s">
        <v>1484</v>
      </c>
      <c r="E380" s="263">
        <v>443943</v>
      </c>
      <c r="F380" s="101" t="s">
        <v>1337</v>
      </c>
      <c r="G380" s="181" t="s">
        <v>1485</v>
      </c>
      <c r="H380" s="70">
        <v>1</v>
      </c>
    </row>
    <row r="381" spans="1:12" s="150" customFormat="1" ht="27.75">
      <c r="A381" s="76"/>
      <c r="B381" s="75"/>
      <c r="C381" s="115"/>
      <c r="D381" s="169"/>
      <c r="E381" s="74"/>
      <c r="F381" s="76"/>
      <c r="G381" s="170"/>
      <c r="H381" s="76"/>
    </row>
    <row r="382" spans="1:12" s="150" customFormat="1" ht="27.75">
      <c r="A382" s="84"/>
      <c r="B382" s="84"/>
      <c r="C382" s="78"/>
      <c r="D382" s="82"/>
      <c r="E382" s="94"/>
      <c r="F382" s="84"/>
      <c r="G382" s="84"/>
      <c r="H382" s="84"/>
    </row>
    <row r="383" spans="1:12" s="150" customFormat="1" ht="27.75">
      <c r="A383" s="84"/>
      <c r="B383" s="84"/>
      <c r="C383" s="78"/>
      <c r="D383" s="82"/>
      <c r="E383" s="94"/>
      <c r="F383" s="84"/>
      <c r="G383" s="84"/>
      <c r="H383" s="84"/>
    </row>
    <row r="384" spans="1:12" s="78" customFormat="1" ht="27.75">
      <c r="A384" s="84"/>
      <c r="B384" s="84"/>
      <c r="D384" s="82"/>
      <c r="E384" s="94"/>
      <c r="F384" s="84"/>
      <c r="G384" s="84"/>
      <c r="H384" s="84"/>
    </row>
    <row r="385" spans="1:17" ht="30.75" customHeight="1">
      <c r="A385" s="345" t="s">
        <v>561</v>
      </c>
      <c r="B385" s="347" t="s">
        <v>0</v>
      </c>
      <c r="C385" s="349" t="s">
        <v>1</v>
      </c>
      <c r="D385" s="336" t="s">
        <v>2</v>
      </c>
      <c r="E385" s="345" t="s">
        <v>3</v>
      </c>
      <c r="F385" s="340" t="s">
        <v>4</v>
      </c>
      <c r="G385" s="344"/>
      <c r="H385" s="336" t="s">
        <v>5</v>
      </c>
    </row>
    <row r="386" spans="1:17" ht="57.75" customHeight="1">
      <c r="A386" s="346"/>
      <c r="B386" s="348"/>
      <c r="C386" s="350"/>
      <c r="D386" s="337"/>
      <c r="E386" s="346"/>
      <c r="F386" s="283" t="s">
        <v>6</v>
      </c>
      <c r="G386" s="283" t="s">
        <v>7</v>
      </c>
      <c r="H386" s="337"/>
    </row>
    <row r="387" spans="1:17" s="150" customFormat="1" ht="27.75">
      <c r="A387" s="70">
        <v>172</v>
      </c>
      <c r="B387" s="162" t="s">
        <v>429</v>
      </c>
      <c r="C387" s="180" t="s">
        <v>478</v>
      </c>
      <c r="D387" s="10" t="s">
        <v>1344</v>
      </c>
      <c r="E387" s="251">
        <f>63000*1.07</f>
        <v>67410</v>
      </c>
      <c r="F387" s="101" t="s">
        <v>1345</v>
      </c>
      <c r="G387" s="181" t="s">
        <v>1346</v>
      </c>
      <c r="H387" s="181">
        <v>1</v>
      </c>
    </row>
    <row r="388" spans="1:17" s="150" customFormat="1" ht="27.75">
      <c r="A388" s="76"/>
      <c r="B388" s="71"/>
      <c r="C388" s="115"/>
      <c r="D388" s="72"/>
      <c r="E388" s="104"/>
      <c r="F388" s="76"/>
      <c r="G388" s="170"/>
      <c r="H388" s="170"/>
    </row>
    <row r="389" spans="1:17" s="150" customFormat="1" ht="27" customHeight="1">
      <c r="A389" s="70">
        <v>173</v>
      </c>
      <c r="B389" s="24" t="s">
        <v>141</v>
      </c>
      <c r="C389" s="182" t="s">
        <v>142</v>
      </c>
      <c r="D389" s="159" t="s">
        <v>1347</v>
      </c>
      <c r="E389" s="255">
        <f>63420*1.07</f>
        <v>67859.400000000009</v>
      </c>
      <c r="F389" s="101" t="s">
        <v>1345</v>
      </c>
      <c r="G389" s="175" t="s">
        <v>1348</v>
      </c>
      <c r="H389" s="181">
        <v>1</v>
      </c>
    </row>
    <row r="390" spans="1:17" ht="27.75" customHeight="1">
      <c r="A390" s="76"/>
      <c r="B390" s="71"/>
      <c r="C390" s="115"/>
      <c r="D390" s="77" t="s">
        <v>138</v>
      </c>
      <c r="E390" s="104"/>
      <c r="F390" s="76"/>
      <c r="G390" s="170"/>
      <c r="H390" s="170"/>
    </row>
    <row r="391" spans="1:17" ht="30" customHeight="1">
      <c r="A391" s="70">
        <v>174</v>
      </c>
      <c r="B391" s="162" t="s">
        <v>1269</v>
      </c>
      <c r="C391" s="182" t="s">
        <v>1270</v>
      </c>
      <c r="D391" s="265" t="s">
        <v>1349</v>
      </c>
      <c r="E391" s="183">
        <f>75000*1.07</f>
        <v>80250</v>
      </c>
      <c r="F391" s="101" t="s">
        <v>1345</v>
      </c>
      <c r="G391" s="175" t="s">
        <v>1350</v>
      </c>
      <c r="H391" s="175">
        <v>1</v>
      </c>
    </row>
    <row r="392" spans="1:17" s="150" customFormat="1" ht="27.75">
      <c r="A392" s="76"/>
      <c r="B392" s="71"/>
      <c r="C392" s="115"/>
      <c r="D392" s="169"/>
      <c r="E392" s="104"/>
      <c r="F392" s="76"/>
      <c r="G392" s="170"/>
      <c r="H392" s="170"/>
      <c r="Q392" s="78"/>
    </row>
    <row r="393" spans="1:17" s="150" customFormat="1" ht="27.75">
      <c r="A393" s="70">
        <v>175</v>
      </c>
      <c r="B393" s="28" t="s">
        <v>9</v>
      </c>
      <c r="C393" s="182" t="s">
        <v>50</v>
      </c>
      <c r="D393" s="159" t="s">
        <v>1351</v>
      </c>
      <c r="E393" s="183">
        <f>1120*1.07</f>
        <v>1198.4000000000001</v>
      </c>
      <c r="F393" s="101" t="s">
        <v>1345</v>
      </c>
      <c r="G393" s="175" t="s">
        <v>1352</v>
      </c>
      <c r="H393" s="181">
        <v>1</v>
      </c>
    </row>
    <row r="394" spans="1:17" s="150" customFormat="1" ht="27.75">
      <c r="A394" s="76"/>
      <c r="B394" s="225"/>
      <c r="C394" s="111"/>
      <c r="D394" s="77" t="s">
        <v>138</v>
      </c>
      <c r="E394" s="104"/>
      <c r="F394" s="76"/>
      <c r="G394" s="170"/>
      <c r="H394" s="170"/>
    </row>
    <row r="395" spans="1:17" s="150" customFormat="1" ht="27.75" customHeight="1">
      <c r="A395" s="70">
        <v>176</v>
      </c>
      <c r="B395" s="162" t="s">
        <v>1353</v>
      </c>
      <c r="C395" s="180" t="s">
        <v>1354</v>
      </c>
      <c r="D395" s="10" t="s">
        <v>1355</v>
      </c>
      <c r="E395" s="255">
        <f>93261.29*1.07</f>
        <v>99789.580300000001</v>
      </c>
      <c r="F395" s="101" t="s">
        <v>1345</v>
      </c>
      <c r="G395" s="266" t="s">
        <v>1356</v>
      </c>
      <c r="H395" s="181">
        <v>1</v>
      </c>
    </row>
    <row r="396" spans="1:17" s="150" customFormat="1" ht="27.75">
      <c r="A396" s="76"/>
      <c r="B396" s="71"/>
      <c r="C396" s="115"/>
      <c r="D396" s="72" t="s">
        <v>636</v>
      </c>
      <c r="E396" s="104"/>
      <c r="F396" s="76"/>
      <c r="G396" s="170"/>
      <c r="H396" s="170"/>
    </row>
    <row r="397" spans="1:17" s="150" customFormat="1" ht="27.75">
      <c r="A397" s="70">
        <v>177</v>
      </c>
      <c r="B397" s="44" t="s">
        <v>40</v>
      </c>
      <c r="C397" s="182" t="s">
        <v>41</v>
      </c>
      <c r="D397" s="159" t="s">
        <v>1357</v>
      </c>
      <c r="E397" s="183">
        <f>11040*1.07</f>
        <v>11812.800000000001</v>
      </c>
      <c r="F397" s="101" t="s">
        <v>1345</v>
      </c>
      <c r="G397" s="175" t="s">
        <v>1358</v>
      </c>
      <c r="H397" s="181">
        <v>1</v>
      </c>
    </row>
    <row r="398" spans="1:17" s="150" customFormat="1" ht="27.75">
      <c r="A398" s="76"/>
      <c r="B398" s="71"/>
      <c r="C398" s="182" t="s">
        <v>44</v>
      </c>
      <c r="D398" s="159"/>
      <c r="E398" s="94"/>
      <c r="F398" s="76"/>
      <c r="G398" s="170"/>
      <c r="H398" s="170"/>
    </row>
    <row r="399" spans="1:17" s="150" customFormat="1" ht="27.75">
      <c r="A399" s="70">
        <v>178</v>
      </c>
      <c r="B399" s="162" t="s">
        <v>854</v>
      </c>
      <c r="C399" s="180" t="s">
        <v>855</v>
      </c>
      <c r="D399" s="10" t="s">
        <v>1359</v>
      </c>
      <c r="E399" s="205">
        <f>36768*1.07</f>
        <v>39341.760000000002</v>
      </c>
      <c r="F399" s="101" t="s">
        <v>1345</v>
      </c>
      <c r="G399" s="175" t="s">
        <v>1360</v>
      </c>
      <c r="H399" s="181">
        <v>1</v>
      </c>
    </row>
    <row r="400" spans="1:17" s="150" customFormat="1" ht="27.75">
      <c r="A400" s="76"/>
      <c r="B400" s="81"/>
      <c r="C400" s="115"/>
      <c r="D400" s="167"/>
      <c r="E400" s="257"/>
      <c r="F400" s="80"/>
      <c r="G400" s="175"/>
      <c r="H400" s="175"/>
    </row>
    <row r="401" spans="1:8" s="78" customFormat="1" ht="27.75">
      <c r="A401" s="70">
        <v>179</v>
      </c>
      <c r="B401" s="24" t="s">
        <v>698</v>
      </c>
      <c r="C401" s="78" t="s">
        <v>779</v>
      </c>
      <c r="D401" s="66" t="s">
        <v>1487</v>
      </c>
      <c r="E401" s="263">
        <v>269314.03000000003</v>
      </c>
      <c r="F401" s="101" t="s">
        <v>1345</v>
      </c>
      <c r="G401" s="181" t="s">
        <v>1488</v>
      </c>
      <c r="H401" s="70">
        <v>1</v>
      </c>
    </row>
    <row r="402" spans="1:8" ht="27.75" customHeight="1">
      <c r="A402" s="76"/>
      <c r="B402" s="80"/>
      <c r="C402" s="78"/>
      <c r="D402" s="72"/>
      <c r="E402" s="74"/>
      <c r="F402" s="76"/>
      <c r="G402" s="170"/>
      <c r="H402" s="76"/>
    </row>
    <row r="403" spans="1:8" s="150" customFormat="1" ht="27.75">
      <c r="A403" s="70">
        <v>180</v>
      </c>
      <c r="B403" s="122" t="s">
        <v>435</v>
      </c>
      <c r="C403" s="180" t="s">
        <v>436</v>
      </c>
      <c r="D403" s="10" t="s">
        <v>1361</v>
      </c>
      <c r="E403" s="11">
        <f>40800*1.07</f>
        <v>43656</v>
      </c>
      <c r="F403" s="101" t="s">
        <v>1362</v>
      </c>
      <c r="G403" s="70" t="s">
        <v>1363</v>
      </c>
      <c r="H403" s="181">
        <v>1</v>
      </c>
    </row>
    <row r="404" spans="1:8" s="150" customFormat="1" ht="27.75">
      <c r="A404" s="76"/>
      <c r="B404" s="71"/>
      <c r="C404" s="115"/>
      <c r="D404" s="72" t="s">
        <v>19</v>
      </c>
      <c r="E404" s="104"/>
      <c r="F404" s="76"/>
      <c r="G404" s="76"/>
      <c r="H404" s="170"/>
    </row>
    <row r="405" spans="1:8" s="150" customFormat="1" ht="27.75">
      <c r="A405" s="70">
        <v>181</v>
      </c>
      <c r="B405" s="162" t="s">
        <v>1098</v>
      </c>
      <c r="C405" s="182" t="s">
        <v>1099</v>
      </c>
      <c r="D405" s="186" t="s">
        <v>1364</v>
      </c>
      <c r="E405" s="183">
        <f>70000*1.07</f>
        <v>74900</v>
      </c>
      <c r="F405" s="101" t="s">
        <v>1362</v>
      </c>
      <c r="G405" s="175" t="s">
        <v>1365</v>
      </c>
      <c r="H405" s="181">
        <v>1</v>
      </c>
    </row>
    <row r="406" spans="1:8" s="150" customFormat="1" ht="27.75">
      <c r="A406" s="76"/>
      <c r="B406" s="71"/>
      <c r="C406" s="115"/>
      <c r="D406" s="169"/>
      <c r="E406" s="104"/>
      <c r="F406" s="76"/>
      <c r="G406" s="170"/>
      <c r="H406" s="170"/>
    </row>
    <row r="407" spans="1:8" s="150" customFormat="1" ht="27.75">
      <c r="A407" s="70">
        <v>182</v>
      </c>
      <c r="B407" s="28" t="s">
        <v>9</v>
      </c>
      <c r="C407" s="182" t="s">
        <v>50</v>
      </c>
      <c r="D407" s="159" t="s">
        <v>11</v>
      </c>
      <c r="E407" s="256">
        <f>750*1.07</f>
        <v>802.5</v>
      </c>
      <c r="F407" s="101" t="s">
        <v>1362</v>
      </c>
      <c r="G407" s="175" t="s">
        <v>1366</v>
      </c>
      <c r="H407" s="181">
        <v>1</v>
      </c>
    </row>
    <row r="408" spans="1:8" s="150" customFormat="1" ht="27.75">
      <c r="A408" s="76"/>
      <c r="B408" s="71"/>
      <c r="C408" s="201"/>
      <c r="D408" s="121"/>
      <c r="E408" s="104"/>
      <c r="F408" s="76"/>
      <c r="G408" s="170"/>
      <c r="H408" s="170"/>
    </row>
    <row r="409" spans="1:8" s="150" customFormat="1" ht="27.75">
      <c r="A409" s="70">
        <v>183</v>
      </c>
      <c r="B409" s="162" t="s">
        <v>1367</v>
      </c>
      <c r="C409" s="10" t="s">
        <v>1368</v>
      </c>
      <c r="D409" s="235" t="s">
        <v>1369</v>
      </c>
      <c r="E409" s="151">
        <f>13247*1.07</f>
        <v>14174.29</v>
      </c>
      <c r="F409" s="101" t="s">
        <v>1362</v>
      </c>
      <c r="G409" s="175" t="s">
        <v>1370</v>
      </c>
      <c r="H409" s="181">
        <v>1</v>
      </c>
    </row>
    <row r="410" spans="1:8" s="150" customFormat="1" ht="27.75">
      <c r="A410" s="76"/>
      <c r="B410" s="227"/>
      <c r="C410" s="121"/>
      <c r="D410" s="89"/>
      <c r="E410" s="74"/>
      <c r="F410" s="76"/>
      <c r="G410" s="170"/>
      <c r="H410" s="170"/>
    </row>
    <row r="411" spans="1:8" ht="27.75">
      <c r="A411" s="70">
        <v>184</v>
      </c>
      <c r="B411" s="105" t="s">
        <v>100</v>
      </c>
      <c r="C411" s="67" t="s">
        <v>101</v>
      </c>
      <c r="D411" s="66" t="s">
        <v>1489</v>
      </c>
      <c r="E411" s="263">
        <v>422222</v>
      </c>
      <c r="F411" s="101" t="s">
        <v>1362</v>
      </c>
      <c r="G411" s="181" t="s">
        <v>1490</v>
      </c>
      <c r="H411" s="70">
        <v>1</v>
      </c>
    </row>
    <row r="412" spans="1:8" s="150" customFormat="1" ht="27.75">
      <c r="A412" s="76"/>
      <c r="B412" s="76"/>
      <c r="C412" s="73"/>
      <c r="D412" s="72"/>
      <c r="E412" s="74"/>
      <c r="F412" s="76"/>
      <c r="G412" s="170"/>
      <c r="H412" s="170"/>
    </row>
    <row r="413" spans="1:8" s="150" customFormat="1" ht="27.75">
      <c r="A413" s="70">
        <v>185</v>
      </c>
      <c r="B413" s="22" t="s">
        <v>1318</v>
      </c>
      <c r="C413" s="159" t="s">
        <v>505</v>
      </c>
      <c r="D413" s="4" t="s">
        <v>1371</v>
      </c>
      <c r="E413" s="155">
        <f>45220*1.07</f>
        <v>48385.4</v>
      </c>
      <c r="F413" s="101" t="s">
        <v>1372</v>
      </c>
      <c r="G413" s="160" t="s">
        <v>1373</v>
      </c>
      <c r="H413" s="70">
        <v>1</v>
      </c>
    </row>
    <row r="414" spans="1:8" s="150" customFormat="1" ht="27.75">
      <c r="A414" s="76"/>
      <c r="B414" s="76"/>
      <c r="C414" s="121"/>
      <c r="D414" s="89"/>
      <c r="E414" s="74"/>
      <c r="F414" s="76"/>
      <c r="G414" s="170"/>
      <c r="H414" s="76"/>
    </row>
    <row r="415" spans="1:8" s="150" customFormat="1" ht="27.75">
      <c r="A415" s="70">
        <v>186</v>
      </c>
      <c r="B415" s="185" t="s">
        <v>45</v>
      </c>
      <c r="C415" s="10" t="s">
        <v>481</v>
      </c>
      <c r="D415" s="152" t="s">
        <v>1374</v>
      </c>
      <c r="E415" s="151">
        <f>72000*1.07</f>
        <v>77040</v>
      </c>
      <c r="F415" s="101" t="s">
        <v>1372</v>
      </c>
      <c r="G415" s="108" t="s">
        <v>1375</v>
      </c>
      <c r="H415" s="70">
        <v>1</v>
      </c>
    </row>
    <row r="416" spans="1:8" s="150" customFormat="1" ht="27.75">
      <c r="A416" s="76"/>
      <c r="B416" s="71"/>
      <c r="C416" s="121"/>
      <c r="D416" s="89"/>
      <c r="E416" s="74"/>
      <c r="F416" s="76"/>
      <c r="G416" s="170"/>
      <c r="H416" s="76"/>
    </row>
    <row r="417" spans="1:8" s="78" customFormat="1" ht="27.75">
      <c r="A417" s="84"/>
      <c r="B417" s="84"/>
      <c r="C417" s="128"/>
      <c r="D417" s="82"/>
      <c r="E417" s="94"/>
      <c r="F417" s="84"/>
      <c r="G417" s="84"/>
      <c r="H417" s="84"/>
    </row>
    <row r="418" spans="1:8" s="78" customFormat="1" ht="27.75">
      <c r="A418" s="84"/>
      <c r="B418" s="84"/>
      <c r="C418" s="128"/>
      <c r="D418" s="82"/>
      <c r="E418" s="94"/>
      <c r="F418" s="84"/>
      <c r="G418" s="84"/>
      <c r="H418" s="84"/>
    </row>
    <row r="419" spans="1:8" s="150" customFormat="1" ht="27.75">
      <c r="A419" s="336" t="s">
        <v>561</v>
      </c>
      <c r="B419" s="338" t="s">
        <v>0</v>
      </c>
      <c r="C419" s="340" t="s">
        <v>1</v>
      </c>
      <c r="D419" s="341" t="s">
        <v>2</v>
      </c>
      <c r="E419" s="342" t="s">
        <v>3</v>
      </c>
      <c r="F419" s="341" t="s">
        <v>4</v>
      </c>
      <c r="G419" s="341"/>
      <c r="H419" s="336" t="s">
        <v>5</v>
      </c>
    </row>
    <row r="420" spans="1:8" s="150" customFormat="1" ht="55.5" customHeight="1">
      <c r="A420" s="337"/>
      <c r="B420" s="339"/>
      <c r="C420" s="340"/>
      <c r="D420" s="341"/>
      <c r="E420" s="343"/>
      <c r="F420" s="268" t="s">
        <v>6</v>
      </c>
      <c r="G420" s="267" t="s">
        <v>7</v>
      </c>
      <c r="H420" s="337"/>
    </row>
    <row r="421" spans="1:8" s="150" customFormat="1" ht="27.75">
      <c r="A421" s="70">
        <v>187</v>
      </c>
      <c r="B421" s="37" t="s">
        <v>27</v>
      </c>
      <c r="C421" s="159" t="s">
        <v>28</v>
      </c>
      <c r="D421" s="4" t="s">
        <v>1376</v>
      </c>
      <c r="E421" s="155">
        <f>42000*1.07</f>
        <v>44940</v>
      </c>
      <c r="F421" s="101" t="s">
        <v>1372</v>
      </c>
      <c r="G421" s="160" t="s">
        <v>1377</v>
      </c>
      <c r="H421" s="70">
        <v>1</v>
      </c>
    </row>
    <row r="422" spans="1:8" s="150" customFormat="1" ht="27.75">
      <c r="A422" s="76"/>
      <c r="B422" s="81"/>
      <c r="C422" s="125"/>
      <c r="D422" s="128"/>
      <c r="E422" s="83"/>
      <c r="F422" s="80"/>
      <c r="G422" s="175"/>
      <c r="H422" s="80"/>
    </row>
    <row r="423" spans="1:8" s="150" customFormat="1" ht="27.75">
      <c r="A423" s="70">
        <v>188</v>
      </c>
      <c r="B423" s="22" t="s">
        <v>1378</v>
      </c>
      <c r="C423" s="152" t="s">
        <v>1379</v>
      </c>
      <c r="D423" s="172" t="s">
        <v>1380</v>
      </c>
      <c r="E423" s="11">
        <f>3500*1.07</f>
        <v>3745</v>
      </c>
      <c r="F423" s="101" t="s">
        <v>1372</v>
      </c>
      <c r="G423" s="108" t="s">
        <v>1381</v>
      </c>
      <c r="H423" s="70">
        <v>1</v>
      </c>
    </row>
    <row r="424" spans="1:8" s="150" customFormat="1" ht="27.75">
      <c r="A424" s="76"/>
      <c r="B424" s="76"/>
      <c r="C424" s="124"/>
      <c r="D424" s="121"/>
      <c r="E424" s="104"/>
      <c r="F424" s="76"/>
      <c r="G424" s="75"/>
      <c r="H424" s="76"/>
    </row>
    <row r="425" spans="1:8" s="150" customFormat="1" ht="27.75">
      <c r="A425" s="70">
        <v>189</v>
      </c>
      <c r="B425" s="198" t="s">
        <v>58</v>
      </c>
      <c r="C425" s="10" t="s">
        <v>270</v>
      </c>
      <c r="D425" s="152" t="s">
        <v>1382</v>
      </c>
      <c r="E425" s="151">
        <f>81500*1.07</f>
        <v>87205</v>
      </c>
      <c r="F425" s="101" t="s">
        <v>1372</v>
      </c>
      <c r="G425" s="108" t="s">
        <v>1383</v>
      </c>
      <c r="H425" s="70">
        <v>1</v>
      </c>
    </row>
    <row r="426" spans="1:8" s="150" customFormat="1" ht="27.75">
      <c r="A426" s="76"/>
      <c r="B426" s="71"/>
      <c r="C426" s="17"/>
      <c r="D426" s="89"/>
      <c r="E426" s="74"/>
      <c r="F426" s="76"/>
      <c r="G426" s="170"/>
      <c r="H426" s="76"/>
    </row>
    <row r="427" spans="1:8" ht="27.75" customHeight="1">
      <c r="A427" s="70">
        <v>190</v>
      </c>
      <c r="B427" s="24" t="s">
        <v>200</v>
      </c>
      <c r="C427" s="10" t="s">
        <v>201</v>
      </c>
      <c r="D427" s="2" t="s">
        <v>1384</v>
      </c>
      <c r="E427" s="155">
        <f>30300*1.07</f>
        <v>32421.000000000004</v>
      </c>
      <c r="F427" s="101" t="s">
        <v>1372</v>
      </c>
      <c r="G427" s="84" t="s">
        <v>1385</v>
      </c>
      <c r="H427" s="70">
        <v>1</v>
      </c>
    </row>
    <row r="428" spans="1:8" ht="27.75">
      <c r="A428" s="76"/>
      <c r="B428" s="76"/>
      <c r="C428" s="121"/>
      <c r="D428" s="223" t="s">
        <v>1386</v>
      </c>
      <c r="E428" s="74"/>
      <c r="F428" s="76"/>
      <c r="G428" s="170"/>
      <c r="H428" s="76"/>
    </row>
    <row r="429" spans="1:8" s="150" customFormat="1" ht="27.75">
      <c r="A429" s="70">
        <v>191</v>
      </c>
      <c r="B429" s="110" t="s">
        <v>124</v>
      </c>
      <c r="C429" s="111" t="s">
        <v>125</v>
      </c>
      <c r="D429" s="167" t="s">
        <v>1491</v>
      </c>
      <c r="E429" s="168">
        <v>238342.5</v>
      </c>
      <c r="F429" s="101" t="s">
        <v>1372</v>
      </c>
      <c r="G429" s="70" t="s">
        <v>1492</v>
      </c>
      <c r="H429" s="70">
        <v>1</v>
      </c>
    </row>
    <row r="430" spans="1:8" s="150" customFormat="1" ht="27.75">
      <c r="A430" s="76"/>
      <c r="B430" s="75"/>
      <c r="C430" s="115"/>
      <c r="D430" s="169"/>
      <c r="E430" s="239"/>
      <c r="F430" s="73"/>
      <c r="G430" s="76"/>
      <c r="H430" s="76"/>
    </row>
    <row r="431" spans="1:8" s="150" customFormat="1" ht="27.75">
      <c r="A431" s="70">
        <v>192</v>
      </c>
      <c r="B431" s="162" t="s">
        <v>1387</v>
      </c>
      <c r="C431" s="10" t="s">
        <v>1388</v>
      </c>
      <c r="D431" s="163" t="s">
        <v>1389</v>
      </c>
      <c r="E431" s="168">
        <f>23760*1.07</f>
        <v>25423.200000000001</v>
      </c>
      <c r="F431" s="101" t="s">
        <v>1390</v>
      </c>
      <c r="G431" s="171" t="s">
        <v>1391</v>
      </c>
      <c r="H431" s="70">
        <v>1</v>
      </c>
    </row>
    <row r="432" spans="1:8" s="150" customFormat="1" ht="27.75">
      <c r="A432" s="76"/>
      <c r="B432" s="71"/>
      <c r="C432" s="121"/>
      <c r="D432" s="89"/>
      <c r="E432" s="74"/>
      <c r="F432" s="76"/>
      <c r="G432" s="170"/>
      <c r="H432" s="76"/>
    </row>
    <row r="433" spans="1:8" s="150" customFormat="1" ht="27.75">
      <c r="A433" s="70">
        <v>193</v>
      </c>
      <c r="B433" s="133" t="s">
        <v>124</v>
      </c>
      <c r="C433" s="159" t="s">
        <v>290</v>
      </c>
      <c r="D433" s="4" t="s">
        <v>817</v>
      </c>
      <c r="E433" s="155">
        <f>92800*1.07</f>
        <v>99296</v>
      </c>
      <c r="F433" s="101" t="s">
        <v>1390</v>
      </c>
      <c r="G433" s="171" t="s">
        <v>1392</v>
      </c>
      <c r="H433" s="70">
        <v>1</v>
      </c>
    </row>
    <row r="434" spans="1:8" s="150" customFormat="1" ht="27.75">
      <c r="A434" s="76"/>
      <c r="B434" s="71"/>
      <c r="C434" s="121"/>
      <c r="D434" s="89"/>
      <c r="E434" s="74"/>
      <c r="F434" s="76"/>
      <c r="G434" s="170"/>
      <c r="H434" s="76"/>
    </row>
    <row r="435" spans="1:8" s="150" customFormat="1" ht="27.75">
      <c r="A435" s="70">
        <v>194</v>
      </c>
      <c r="B435" s="28" t="s">
        <v>9</v>
      </c>
      <c r="C435" s="159" t="s">
        <v>50</v>
      </c>
      <c r="D435" s="4" t="s">
        <v>1393</v>
      </c>
      <c r="E435" s="249">
        <f>900*1.07</f>
        <v>963</v>
      </c>
      <c r="F435" s="101" t="s">
        <v>1390</v>
      </c>
      <c r="G435" s="171" t="s">
        <v>1394</v>
      </c>
      <c r="H435" s="70">
        <v>1</v>
      </c>
    </row>
    <row r="436" spans="1:8" s="150" customFormat="1" ht="27.75">
      <c r="A436" s="76"/>
      <c r="B436" s="71"/>
      <c r="C436" s="121"/>
      <c r="D436" s="73" t="s">
        <v>138</v>
      </c>
      <c r="E436" s="74"/>
      <c r="F436" s="76"/>
      <c r="G436" s="170"/>
      <c r="H436" s="76"/>
    </row>
    <row r="437" spans="1:8" s="150" customFormat="1" ht="27.75">
      <c r="A437" s="70">
        <v>195</v>
      </c>
      <c r="B437" s="162" t="s">
        <v>1395</v>
      </c>
      <c r="C437" s="159" t="s">
        <v>1396</v>
      </c>
      <c r="D437" s="4" t="s">
        <v>1397</v>
      </c>
      <c r="E437" s="155">
        <f>12600*1.07</f>
        <v>13482</v>
      </c>
      <c r="F437" s="101" t="s">
        <v>1390</v>
      </c>
      <c r="G437" s="171" t="s">
        <v>1398</v>
      </c>
      <c r="H437" s="70">
        <v>1</v>
      </c>
    </row>
    <row r="438" spans="1:8" s="150" customFormat="1" ht="27.75">
      <c r="A438" s="76"/>
      <c r="B438" s="71"/>
      <c r="C438" s="121"/>
      <c r="D438" s="124"/>
      <c r="E438" s="74"/>
      <c r="F438" s="76"/>
      <c r="G438" s="170"/>
      <c r="H438" s="76"/>
    </row>
    <row r="439" spans="1:8" s="150" customFormat="1" ht="27.75">
      <c r="A439" s="70">
        <v>196</v>
      </c>
      <c r="B439" s="162" t="s">
        <v>1399</v>
      </c>
      <c r="C439" s="159" t="s">
        <v>1400</v>
      </c>
      <c r="D439" s="4" t="s">
        <v>1401</v>
      </c>
      <c r="E439" s="155">
        <f>72500*1.07</f>
        <v>77575</v>
      </c>
      <c r="F439" s="101" t="s">
        <v>1390</v>
      </c>
      <c r="G439" s="171" t="s">
        <v>1402</v>
      </c>
      <c r="H439" s="70">
        <v>1</v>
      </c>
    </row>
    <row r="440" spans="1:8" s="150" customFormat="1" ht="27.75">
      <c r="A440" s="76"/>
      <c r="B440" s="71"/>
      <c r="C440" s="121"/>
      <c r="D440" s="124"/>
      <c r="E440" s="74"/>
      <c r="F440" s="116"/>
      <c r="G440" s="170"/>
      <c r="H440" s="76"/>
    </row>
    <row r="441" spans="1:8" s="150" customFormat="1" ht="27.75">
      <c r="A441" s="70">
        <v>197</v>
      </c>
      <c r="B441" s="162" t="s">
        <v>1297</v>
      </c>
      <c r="C441" s="159" t="s">
        <v>1298</v>
      </c>
      <c r="D441" s="4" t="s">
        <v>1403</v>
      </c>
      <c r="E441" s="244">
        <f>21900*1.07</f>
        <v>23433</v>
      </c>
      <c r="F441" s="101" t="s">
        <v>1390</v>
      </c>
      <c r="G441" s="171" t="s">
        <v>1404</v>
      </c>
      <c r="H441" s="70">
        <v>1</v>
      </c>
    </row>
    <row r="442" spans="1:8" s="150" customFormat="1" ht="27.75">
      <c r="A442" s="76"/>
      <c r="B442" s="71"/>
      <c r="C442" s="121"/>
      <c r="D442" s="124"/>
      <c r="E442" s="74"/>
      <c r="F442" s="76"/>
      <c r="G442" s="170"/>
      <c r="H442" s="76"/>
    </row>
    <row r="443" spans="1:8" s="150" customFormat="1" ht="27.75">
      <c r="A443" s="70">
        <v>198</v>
      </c>
      <c r="B443" s="28" t="s">
        <v>9</v>
      </c>
      <c r="C443" s="159" t="s">
        <v>10</v>
      </c>
      <c r="D443" s="163" t="s">
        <v>1405</v>
      </c>
      <c r="E443" s="155">
        <f>1680*1.07</f>
        <v>1797.6000000000001</v>
      </c>
      <c r="F443" s="101" t="s">
        <v>1390</v>
      </c>
      <c r="G443" s="171" t="s">
        <v>1406</v>
      </c>
      <c r="H443" s="70">
        <v>1</v>
      </c>
    </row>
    <row r="444" spans="1:8" s="150" customFormat="1" ht="27.75">
      <c r="A444" s="76"/>
      <c r="B444" s="71"/>
      <c r="C444" s="121"/>
      <c r="D444" s="73" t="s">
        <v>138</v>
      </c>
      <c r="E444" s="74"/>
      <c r="F444" s="76"/>
      <c r="G444" s="170"/>
      <c r="H444" s="76"/>
    </row>
    <row r="445" spans="1:8" s="150" customFormat="1" ht="27.75">
      <c r="A445" s="70">
        <v>199</v>
      </c>
      <c r="B445" s="22" t="s">
        <v>58</v>
      </c>
      <c r="C445" s="159" t="s">
        <v>270</v>
      </c>
      <c r="D445" s="4" t="s">
        <v>1407</v>
      </c>
      <c r="E445" s="155">
        <f>4000*1.07</f>
        <v>4280</v>
      </c>
      <c r="F445" s="101" t="s">
        <v>1390</v>
      </c>
      <c r="G445" s="171" t="s">
        <v>1408</v>
      </c>
      <c r="H445" s="70">
        <v>1</v>
      </c>
    </row>
    <row r="446" spans="1:8" s="150" customFormat="1" ht="27.75">
      <c r="A446" s="76"/>
      <c r="B446" s="71"/>
      <c r="C446" s="121"/>
      <c r="D446" s="89"/>
      <c r="E446" s="74"/>
      <c r="F446" s="76"/>
      <c r="G446" s="232"/>
      <c r="H446" s="76"/>
    </row>
    <row r="447" spans="1:8" s="150" customFormat="1" ht="27.75">
      <c r="A447" s="70">
        <v>200</v>
      </c>
      <c r="B447" s="185" t="s">
        <v>805</v>
      </c>
      <c r="C447" s="180" t="s">
        <v>806</v>
      </c>
      <c r="D447" s="10" t="s">
        <v>1493</v>
      </c>
      <c r="E447" s="151">
        <v>250273</v>
      </c>
      <c r="F447" s="101" t="s">
        <v>1494</v>
      </c>
      <c r="G447" s="70" t="s">
        <v>1495</v>
      </c>
      <c r="H447" s="181">
        <v>1</v>
      </c>
    </row>
    <row r="448" spans="1:8" s="150" customFormat="1" ht="27.75">
      <c r="A448" s="76"/>
      <c r="B448" s="75"/>
      <c r="C448" s="115"/>
      <c r="D448" s="169" t="s">
        <v>559</v>
      </c>
      <c r="E448" s="239"/>
      <c r="F448" s="73"/>
      <c r="G448" s="76"/>
      <c r="H448" s="170"/>
    </row>
    <row r="449" spans="1:8" s="150" customFormat="1" ht="27.75">
      <c r="A449" s="70">
        <v>201</v>
      </c>
      <c r="B449" s="119" t="s">
        <v>508</v>
      </c>
      <c r="C449" s="4" t="s">
        <v>509</v>
      </c>
      <c r="D449" s="10" t="s">
        <v>1409</v>
      </c>
      <c r="E449" s="1">
        <f>70400*1.07</f>
        <v>75328</v>
      </c>
      <c r="F449" s="101" t="s">
        <v>1410</v>
      </c>
      <c r="G449" s="171" t="s">
        <v>1498</v>
      </c>
      <c r="H449" s="70">
        <v>1</v>
      </c>
    </row>
    <row r="450" spans="1:8" s="150" customFormat="1" ht="27.75">
      <c r="A450" s="76"/>
      <c r="B450" s="71"/>
      <c r="C450" s="230"/>
      <c r="D450" s="72" t="s">
        <v>349</v>
      </c>
      <c r="E450" s="206"/>
      <c r="F450" s="76"/>
      <c r="G450" s="170"/>
      <c r="H450" s="76"/>
    </row>
    <row r="451" spans="1:8" s="150" customFormat="1" ht="27.75">
      <c r="A451" s="70">
        <v>202</v>
      </c>
      <c r="B451" s="24" t="s">
        <v>141</v>
      </c>
      <c r="C451" s="152" t="s">
        <v>340</v>
      </c>
      <c r="D451" s="10" t="s">
        <v>1411</v>
      </c>
      <c r="E451" s="11">
        <f>83338*1.07</f>
        <v>89171.66</v>
      </c>
      <c r="F451" s="101" t="s">
        <v>1410</v>
      </c>
      <c r="G451" s="26" t="s">
        <v>1496</v>
      </c>
      <c r="H451" s="70">
        <v>1</v>
      </c>
    </row>
    <row r="452" spans="1:8" s="150" customFormat="1" ht="27.75">
      <c r="A452" s="76"/>
      <c r="B452" s="71"/>
      <c r="C452" s="230"/>
      <c r="D452" s="72" t="s">
        <v>1412</v>
      </c>
      <c r="E452" s="206"/>
      <c r="F452" s="76"/>
      <c r="G452" s="170"/>
      <c r="H452" s="76"/>
    </row>
    <row r="453" spans="1:8" s="78" customFormat="1" ht="27.75">
      <c r="A453" s="84"/>
      <c r="B453" s="84"/>
      <c r="C453" s="2"/>
      <c r="E453" s="94"/>
      <c r="F453" s="84"/>
      <c r="G453" s="84"/>
      <c r="H453" s="84"/>
    </row>
    <row r="454" spans="1:8" s="150" customFormat="1" ht="27.75">
      <c r="A454" s="336" t="s">
        <v>561</v>
      </c>
      <c r="B454" s="338" t="s">
        <v>0</v>
      </c>
      <c r="C454" s="340" t="s">
        <v>1</v>
      </c>
      <c r="D454" s="341" t="s">
        <v>2</v>
      </c>
      <c r="E454" s="342" t="s">
        <v>3</v>
      </c>
      <c r="F454" s="344" t="s">
        <v>4</v>
      </c>
      <c r="G454" s="341"/>
      <c r="H454" s="336" t="s">
        <v>5</v>
      </c>
    </row>
    <row r="455" spans="1:8" s="150" customFormat="1" ht="55.5" customHeight="1">
      <c r="A455" s="337"/>
      <c r="B455" s="339"/>
      <c r="C455" s="340"/>
      <c r="D455" s="341"/>
      <c r="E455" s="343"/>
      <c r="F455" s="284" t="s">
        <v>6</v>
      </c>
      <c r="G455" s="283" t="s">
        <v>7</v>
      </c>
      <c r="H455" s="337"/>
    </row>
    <row r="456" spans="1:8" s="150" customFormat="1" ht="27.75">
      <c r="A456" s="70">
        <v>203</v>
      </c>
      <c r="B456" s="134" t="s">
        <v>1413</v>
      </c>
      <c r="C456" s="4" t="s">
        <v>1310</v>
      </c>
      <c r="D456" s="159" t="s">
        <v>1414</v>
      </c>
      <c r="E456" s="1">
        <f>25430*1.07</f>
        <v>27210.100000000002</v>
      </c>
      <c r="F456" s="101" t="s">
        <v>1410</v>
      </c>
      <c r="G456" s="171" t="s">
        <v>1415</v>
      </c>
      <c r="H456" s="70">
        <v>1</v>
      </c>
    </row>
    <row r="457" spans="1:8" s="150" customFormat="1" ht="27.75">
      <c r="A457" s="76"/>
      <c r="B457" s="76"/>
      <c r="C457" s="124"/>
      <c r="D457" s="121"/>
      <c r="E457" s="206"/>
      <c r="F457" s="76"/>
      <c r="G457" s="170"/>
      <c r="H457" s="76"/>
    </row>
    <row r="458" spans="1:8" s="150" customFormat="1" ht="27.75">
      <c r="A458" s="70">
        <v>204</v>
      </c>
      <c r="B458" s="187" t="s">
        <v>698</v>
      </c>
      <c r="C458" s="4" t="s">
        <v>779</v>
      </c>
      <c r="D458" s="159" t="s">
        <v>1416</v>
      </c>
      <c r="E458" s="1">
        <f>21080*1.07</f>
        <v>22555.600000000002</v>
      </c>
      <c r="F458" s="101" t="s">
        <v>1410</v>
      </c>
      <c r="G458" s="171" t="s">
        <v>1417</v>
      </c>
      <c r="H458" s="70">
        <v>1</v>
      </c>
    </row>
    <row r="459" spans="1:8" s="150" customFormat="1" ht="27.75">
      <c r="A459" s="76"/>
      <c r="B459" s="76"/>
      <c r="C459" s="124"/>
      <c r="D459" s="188"/>
      <c r="E459" s="206"/>
      <c r="F459" s="76"/>
      <c r="G459" s="170"/>
      <c r="H459" s="76"/>
    </row>
    <row r="460" spans="1:8" s="150" customFormat="1" ht="27.75">
      <c r="A460" s="70">
        <v>205</v>
      </c>
      <c r="B460" s="36" t="s">
        <v>14</v>
      </c>
      <c r="C460" s="4" t="s">
        <v>15</v>
      </c>
      <c r="D460" s="159" t="s">
        <v>1418</v>
      </c>
      <c r="E460" s="1">
        <f>8790*1.07</f>
        <v>9405.3000000000011</v>
      </c>
      <c r="F460" s="101" t="s">
        <v>1410</v>
      </c>
      <c r="G460" s="171" t="s">
        <v>1419</v>
      </c>
      <c r="H460" s="70">
        <v>1</v>
      </c>
    </row>
    <row r="461" spans="1:8" s="150" customFormat="1" ht="27.75">
      <c r="A461" s="76"/>
      <c r="B461" s="80"/>
      <c r="C461" s="128"/>
      <c r="D461" s="77" t="s">
        <v>349</v>
      </c>
      <c r="E461" s="257"/>
      <c r="F461" s="80"/>
      <c r="G461" s="170"/>
      <c r="H461" s="76"/>
    </row>
    <row r="462" spans="1:8" s="150" customFormat="1" ht="27.75">
      <c r="A462" s="70">
        <v>206</v>
      </c>
      <c r="B462" s="22" t="s">
        <v>397</v>
      </c>
      <c r="C462" s="152" t="s">
        <v>398</v>
      </c>
      <c r="D462" s="10" t="s">
        <v>1420</v>
      </c>
      <c r="E462" s="205">
        <f>50858*1.07</f>
        <v>54418.060000000005</v>
      </c>
      <c r="F462" s="101" t="s">
        <v>1410</v>
      </c>
      <c r="G462" s="171" t="s">
        <v>1421</v>
      </c>
      <c r="H462" s="70">
        <v>1</v>
      </c>
    </row>
    <row r="463" spans="1:8" s="150" customFormat="1" ht="27.75">
      <c r="A463" s="76"/>
      <c r="B463" s="76"/>
      <c r="C463" s="124"/>
      <c r="D463" s="17"/>
      <c r="E463" s="206"/>
      <c r="F463" s="76"/>
      <c r="G463" s="170"/>
      <c r="H463" s="76"/>
    </row>
    <row r="464" spans="1:8" ht="27.75">
      <c r="A464" s="70">
        <v>207</v>
      </c>
      <c r="B464" s="57" t="s">
        <v>54</v>
      </c>
      <c r="C464" s="4" t="s">
        <v>243</v>
      </c>
      <c r="D464" s="172" t="s">
        <v>1422</v>
      </c>
      <c r="E464" s="1">
        <f>5563*1.07</f>
        <v>5952.4100000000008</v>
      </c>
      <c r="F464" s="101" t="s">
        <v>1410</v>
      </c>
      <c r="G464" s="171" t="s">
        <v>1423</v>
      </c>
      <c r="H464" s="70">
        <v>1</v>
      </c>
    </row>
    <row r="465" spans="1:12" s="150" customFormat="1" ht="27.75">
      <c r="A465" s="76"/>
      <c r="B465" s="76"/>
      <c r="C465" s="124"/>
      <c r="D465" s="121"/>
      <c r="E465" s="206"/>
      <c r="F465" s="76"/>
      <c r="G465" s="170"/>
      <c r="H465" s="76"/>
    </row>
    <row r="466" spans="1:12" s="150" customFormat="1" ht="27.75">
      <c r="A466" s="70">
        <v>208</v>
      </c>
      <c r="B466" s="24" t="s">
        <v>158</v>
      </c>
      <c r="C466" s="4" t="s">
        <v>159</v>
      </c>
      <c r="D466" s="159" t="s">
        <v>1424</v>
      </c>
      <c r="E466" s="1">
        <f>52500*1.07</f>
        <v>56175</v>
      </c>
      <c r="F466" s="101" t="s">
        <v>1410</v>
      </c>
      <c r="G466" s="171" t="s">
        <v>1425</v>
      </c>
      <c r="H466" s="70">
        <v>1</v>
      </c>
    </row>
    <row r="467" spans="1:12" s="150" customFormat="1" ht="27.75">
      <c r="A467" s="76"/>
      <c r="B467" s="80"/>
      <c r="C467" s="128"/>
      <c r="D467" s="167" t="s">
        <v>1426</v>
      </c>
      <c r="E467" s="257"/>
      <c r="F467" s="80"/>
      <c r="G467" s="175"/>
      <c r="H467" s="80"/>
    </row>
    <row r="468" spans="1:12" s="150" customFormat="1" ht="27.75">
      <c r="A468" s="70">
        <v>209</v>
      </c>
      <c r="B468" s="22" t="s">
        <v>1032</v>
      </c>
      <c r="C468" s="152" t="s">
        <v>1033</v>
      </c>
      <c r="D468" s="10" t="s">
        <v>1427</v>
      </c>
      <c r="E468" s="11">
        <f>14946*1.07</f>
        <v>15992.220000000001</v>
      </c>
      <c r="F468" s="101" t="s">
        <v>1410</v>
      </c>
      <c r="G468" s="13" t="s">
        <v>1428</v>
      </c>
      <c r="H468" s="70">
        <v>1</v>
      </c>
    </row>
    <row r="469" spans="1:12" s="150" customFormat="1" ht="27.75">
      <c r="A469" s="76"/>
      <c r="B469" s="76"/>
      <c r="C469" s="124"/>
      <c r="D469" s="72" t="s">
        <v>349</v>
      </c>
      <c r="E469" s="206"/>
      <c r="F469" s="76"/>
      <c r="G469" s="170"/>
      <c r="H469" s="76"/>
    </row>
    <row r="470" spans="1:12" s="150" customFormat="1" ht="27.75">
      <c r="A470" s="70">
        <v>210</v>
      </c>
      <c r="B470" s="157" t="s">
        <v>1429</v>
      </c>
      <c r="C470" s="4" t="s">
        <v>1430</v>
      </c>
      <c r="D470" s="186" t="s">
        <v>1431</v>
      </c>
      <c r="E470" s="1">
        <f>65875*1.07</f>
        <v>70486.25</v>
      </c>
      <c r="F470" s="116" t="s">
        <v>1410</v>
      </c>
      <c r="G470" s="171" t="s">
        <v>1432</v>
      </c>
      <c r="H470" s="70">
        <v>1</v>
      </c>
    </row>
    <row r="471" spans="1:12" s="150" customFormat="1" ht="27.75">
      <c r="A471" s="76"/>
      <c r="B471" s="237"/>
      <c r="C471" s="124"/>
      <c r="D471" s="169"/>
      <c r="E471" s="206"/>
      <c r="F471" s="76"/>
      <c r="G471" s="76"/>
      <c r="H471" s="80"/>
      <c r="L471" s="78"/>
    </row>
    <row r="472" spans="1:12" s="150" customFormat="1" ht="27.75">
      <c r="A472" s="70">
        <v>211</v>
      </c>
      <c r="B472" s="24" t="s">
        <v>141</v>
      </c>
      <c r="C472" s="4" t="s">
        <v>340</v>
      </c>
      <c r="D472" s="159" t="s">
        <v>1433</v>
      </c>
      <c r="E472" s="1">
        <f>1380*1.07</f>
        <v>1476.6000000000001</v>
      </c>
      <c r="F472" s="101" t="s">
        <v>1410</v>
      </c>
      <c r="G472" s="171" t="s">
        <v>1434</v>
      </c>
      <c r="H472" s="70">
        <v>1</v>
      </c>
    </row>
    <row r="473" spans="1:12" s="150" customFormat="1" ht="27.75">
      <c r="A473" s="76"/>
      <c r="B473" s="76"/>
      <c r="C473" s="18"/>
      <c r="D473" s="169"/>
      <c r="E473" s="206"/>
      <c r="F473" s="76"/>
      <c r="G473" s="170"/>
      <c r="H473" s="76"/>
    </row>
    <row r="474" spans="1:12" s="150" customFormat="1" ht="27.75">
      <c r="A474" s="70">
        <v>212</v>
      </c>
      <c r="B474" s="22" t="s">
        <v>115</v>
      </c>
      <c r="C474" s="4" t="s">
        <v>116</v>
      </c>
      <c r="D474" s="159" t="s">
        <v>1435</v>
      </c>
      <c r="E474" s="1">
        <f>90000*1.07</f>
        <v>96300</v>
      </c>
      <c r="F474" s="101" t="s">
        <v>1410</v>
      </c>
      <c r="G474" s="171" t="s">
        <v>1436</v>
      </c>
      <c r="H474" s="70">
        <v>1</v>
      </c>
    </row>
    <row r="475" spans="1:12" s="150" customFormat="1" ht="27.75">
      <c r="A475" s="76"/>
      <c r="B475" s="76"/>
      <c r="C475" s="124"/>
      <c r="D475" s="169"/>
      <c r="E475" s="206"/>
      <c r="F475" s="76"/>
      <c r="G475" s="170"/>
      <c r="H475" s="80"/>
    </row>
    <row r="476" spans="1:12" s="150" customFormat="1" ht="27.75">
      <c r="A476" s="70">
        <v>213</v>
      </c>
      <c r="B476" s="37" t="s">
        <v>27</v>
      </c>
      <c r="C476" s="4" t="s">
        <v>28</v>
      </c>
      <c r="D476" s="159" t="s">
        <v>1437</v>
      </c>
      <c r="E476" s="1">
        <f>5550*1.07</f>
        <v>5938.5</v>
      </c>
      <c r="F476" s="101" t="s">
        <v>1410</v>
      </c>
      <c r="G476" s="171" t="s">
        <v>1438</v>
      </c>
      <c r="H476" s="70">
        <v>1</v>
      </c>
    </row>
    <row r="477" spans="1:12" s="150" customFormat="1" ht="27.75">
      <c r="A477" s="76"/>
      <c r="B477" s="76"/>
      <c r="C477" s="73"/>
      <c r="D477" s="72"/>
      <c r="E477" s="206"/>
      <c r="F477" s="76"/>
      <c r="G477" s="75"/>
      <c r="H477" s="76"/>
    </row>
    <row r="478" spans="1:12" s="150" customFormat="1" ht="27.75">
      <c r="A478" s="70">
        <v>214</v>
      </c>
      <c r="B478" s="157" t="s">
        <v>1439</v>
      </c>
      <c r="C478" s="152" t="s">
        <v>1440</v>
      </c>
      <c r="D478" s="159" t="s">
        <v>1441</v>
      </c>
      <c r="E478" s="205">
        <f>10020*1.07</f>
        <v>10721.400000000001</v>
      </c>
      <c r="F478" s="101" t="s">
        <v>1410</v>
      </c>
      <c r="G478" s="171" t="s">
        <v>1442</v>
      </c>
      <c r="H478" s="70">
        <v>1</v>
      </c>
    </row>
    <row r="479" spans="1:12" s="150" customFormat="1" ht="27.75">
      <c r="A479" s="76"/>
      <c r="B479" s="76"/>
      <c r="C479" s="73"/>
      <c r="D479" s="72" t="s">
        <v>636</v>
      </c>
      <c r="E479" s="206"/>
      <c r="F479" s="76"/>
      <c r="G479" s="75"/>
      <c r="H479" s="80"/>
    </row>
    <row r="480" spans="1:12" s="150" customFormat="1" ht="27.75">
      <c r="A480" s="70">
        <v>215</v>
      </c>
      <c r="B480" s="22" t="s">
        <v>1378</v>
      </c>
      <c r="C480" s="2" t="s">
        <v>1170</v>
      </c>
      <c r="D480" s="159" t="s">
        <v>1443</v>
      </c>
      <c r="E480" s="224">
        <f>5400*1.07</f>
        <v>5778</v>
      </c>
      <c r="F480" s="101" t="s">
        <v>1410</v>
      </c>
      <c r="G480" s="171" t="s">
        <v>1444</v>
      </c>
      <c r="H480" s="70">
        <v>1</v>
      </c>
    </row>
    <row r="481" spans="1:8" s="150" customFormat="1" ht="27.75">
      <c r="A481" s="76"/>
      <c r="B481" s="76"/>
      <c r="C481" s="18"/>
      <c r="D481" s="72" t="s">
        <v>19</v>
      </c>
      <c r="E481" s="206"/>
      <c r="F481" s="76"/>
      <c r="G481" s="75"/>
      <c r="H481" s="76"/>
    </row>
    <row r="482" spans="1:8" s="150" customFormat="1" ht="27.75">
      <c r="A482" s="70">
        <v>216</v>
      </c>
      <c r="B482" s="57" t="s">
        <v>54</v>
      </c>
      <c r="C482" s="2" t="s">
        <v>243</v>
      </c>
      <c r="D482" s="159" t="s">
        <v>1339</v>
      </c>
      <c r="E482" s="224">
        <f>2600*1.07</f>
        <v>2782</v>
      </c>
      <c r="F482" s="101" t="s">
        <v>1410</v>
      </c>
      <c r="G482" s="171" t="s">
        <v>1445</v>
      </c>
      <c r="H482" s="70">
        <v>1</v>
      </c>
    </row>
    <row r="483" spans="1:8" s="150" customFormat="1" ht="27.75">
      <c r="A483" s="76"/>
      <c r="B483" s="80"/>
      <c r="C483" s="78"/>
      <c r="D483" s="77"/>
      <c r="E483" s="257"/>
      <c r="F483" s="80"/>
      <c r="G483" s="84"/>
      <c r="H483" s="80"/>
    </row>
    <row r="484" spans="1:8" s="150" customFormat="1" ht="27.75">
      <c r="A484" s="70">
        <v>217</v>
      </c>
      <c r="B484" s="22" t="s">
        <v>1446</v>
      </c>
      <c r="C484" s="152" t="s">
        <v>1447</v>
      </c>
      <c r="D484" s="10" t="s">
        <v>1448</v>
      </c>
      <c r="E484" s="205">
        <f>17400*1.07</f>
        <v>18618</v>
      </c>
      <c r="F484" s="101" t="s">
        <v>1449</v>
      </c>
      <c r="G484" s="13" t="s">
        <v>1450</v>
      </c>
      <c r="H484" s="70">
        <v>1</v>
      </c>
    </row>
    <row r="485" spans="1:8" s="150" customFormat="1" ht="27.75">
      <c r="A485" s="76"/>
      <c r="B485" s="76"/>
      <c r="C485" s="73"/>
      <c r="D485" s="169"/>
      <c r="E485" s="206"/>
      <c r="F485" s="76"/>
      <c r="G485" s="170"/>
      <c r="H485" s="76"/>
    </row>
    <row r="486" spans="1:8" s="150" customFormat="1" ht="27.75">
      <c r="A486" s="70">
        <v>218</v>
      </c>
      <c r="B486" s="36" t="s">
        <v>14</v>
      </c>
      <c r="C486" s="152" t="s">
        <v>15</v>
      </c>
      <c r="D486" s="10" t="s">
        <v>1451</v>
      </c>
      <c r="E486" s="205">
        <f>77200*1.07</f>
        <v>82604</v>
      </c>
      <c r="F486" s="101" t="s">
        <v>1449</v>
      </c>
      <c r="G486" s="26" t="s">
        <v>1452</v>
      </c>
      <c r="H486" s="70">
        <v>1</v>
      </c>
    </row>
    <row r="487" spans="1:8" s="150" customFormat="1" ht="27.75">
      <c r="A487" s="76"/>
      <c r="B487" s="76"/>
      <c r="C487" s="73"/>
      <c r="D487" s="121"/>
      <c r="E487" s="206"/>
      <c r="F487" s="76"/>
      <c r="G487" s="75"/>
      <c r="H487" s="76"/>
    </row>
    <row r="488" spans="1:8" s="78" customFormat="1" ht="27.75">
      <c r="A488" s="84"/>
      <c r="B488" s="84"/>
      <c r="D488" s="128"/>
      <c r="E488" s="94"/>
      <c r="F488" s="84"/>
      <c r="G488" s="84"/>
      <c r="H488" s="84"/>
    </row>
    <row r="489" spans="1:8" s="150" customFormat="1" ht="27.75">
      <c r="A489" s="336" t="s">
        <v>561</v>
      </c>
      <c r="B489" s="338" t="s">
        <v>0</v>
      </c>
      <c r="C489" s="340" t="s">
        <v>1</v>
      </c>
      <c r="D489" s="341" t="s">
        <v>2</v>
      </c>
      <c r="E489" s="342" t="s">
        <v>3</v>
      </c>
      <c r="F489" s="344" t="s">
        <v>4</v>
      </c>
      <c r="G489" s="341"/>
      <c r="H489" s="336" t="s">
        <v>5</v>
      </c>
    </row>
    <row r="490" spans="1:8" s="150" customFormat="1" ht="55.5" customHeight="1">
      <c r="A490" s="337"/>
      <c r="B490" s="339"/>
      <c r="C490" s="340"/>
      <c r="D490" s="341"/>
      <c r="E490" s="343"/>
      <c r="F490" s="284" t="s">
        <v>6</v>
      </c>
      <c r="G490" s="283" t="s">
        <v>7</v>
      </c>
      <c r="H490" s="337"/>
    </row>
    <row r="491" spans="1:8" s="150" customFormat="1" ht="27.75">
      <c r="A491" s="70">
        <v>219</v>
      </c>
      <c r="B491" s="198" t="s">
        <v>1378</v>
      </c>
      <c r="C491" s="182" t="s">
        <v>1170</v>
      </c>
      <c r="D491" s="159" t="s">
        <v>1453</v>
      </c>
      <c r="E491" s="224">
        <f>5400*1.07</f>
        <v>5778</v>
      </c>
      <c r="F491" s="101" t="s">
        <v>1449</v>
      </c>
      <c r="G491" s="171" t="s">
        <v>1454</v>
      </c>
      <c r="H491" s="70">
        <v>1</v>
      </c>
    </row>
    <row r="492" spans="1:8" s="150" customFormat="1" ht="27.75">
      <c r="A492" s="76"/>
      <c r="B492" s="71"/>
      <c r="C492" s="115"/>
      <c r="D492" s="72" t="s">
        <v>19</v>
      </c>
      <c r="E492" s="206"/>
      <c r="F492" s="76"/>
      <c r="G492" s="75"/>
      <c r="H492" s="76"/>
    </row>
    <row r="493" spans="1:8" s="150" customFormat="1" ht="27.75">
      <c r="A493" s="70">
        <v>220</v>
      </c>
      <c r="B493" s="162" t="s">
        <v>1269</v>
      </c>
      <c r="C493" s="182" t="s">
        <v>1270</v>
      </c>
      <c r="D493" s="159" t="s">
        <v>1455</v>
      </c>
      <c r="E493" s="224">
        <f>85100*1.07</f>
        <v>91057</v>
      </c>
      <c r="F493" s="101" t="s">
        <v>1456</v>
      </c>
      <c r="G493" s="171" t="s">
        <v>1457</v>
      </c>
      <c r="H493" s="70">
        <v>1</v>
      </c>
    </row>
    <row r="494" spans="1:8" s="150" customFormat="1" ht="27.75">
      <c r="A494" s="76"/>
      <c r="B494" s="71"/>
      <c r="C494" s="115"/>
      <c r="D494" s="72" t="s">
        <v>19</v>
      </c>
      <c r="E494" s="206"/>
      <c r="F494" s="76"/>
      <c r="G494" s="75"/>
      <c r="H494" s="80"/>
    </row>
    <row r="495" spans="1:8" s="150" customFormat="1" ht="27.75">
      <c r="A495" s="70">
        <v>221</v>
      </c>
      <c r="B495" s="162" t="s">
        <v>1458</v>
      </c>
      <c r="C495" s="182" t="s">
        <v>1459</v>
      </c>
      <c r="D495" s="159" t="s">
        <v>1460</v>
      </c>
      <c r="E495" s="224">
        <f>24840*1.07</f>
        <v>26578.800000000003</v>
      </c>
      <c r="F495" s="101" t="s">
        <v>1456</v>
      </c>
      <c r="G495" s="171" t="s">
        <v>1461</v>
      </c>
      <c r="H495" s="70">
        <v>1</v>
      </c>
    </row>
    <row r="496" spans="1:8" s="150" customFormat="1" ht="27.75">
      <c r="A496" s="76"/>
      <c r="B496" s="71"/>
      <c r="C496" s="115"/>
      <c r="D496" s="72" t="s">
        <v>138</v>
      </c>
      <c r="E496" s="206"/>
      <c r="F496" s="76"/>
      <c r="G496" s="75"/>
      <c r="H496" s="76"/>
    </row>
    <row r="497" spans="1:8" s="150" customFormat="1" ht="27.75">
      <c r="A497" s="70">
        <v>222</v>
      </c>
      <c r="B497" s="162" t="s">
        <v>492</v>
      </c>
      <c r="C497" s="182" t="s">
        <v>1288</v>
      </c>
      <c r="D497" s="159" t="s">
        <v>1462</v>
      </c>
      <c r="E497" s="224">
        <f>13500*1.07</f>
        <v>14445</v>
      </c>
      <c r="F497" s="101" t="s">
        <v>1456</v>
      </c>
      <c r="G497" s="171" t="s">
        <v>1463</v>
      </c>
      <c r="H497" s="70">
        <v>1</v>
      </c>
    </row>
    <row r="498" spans="1:8" ht="27.75" customHeight="1">
      <c r="A498" s="76"/>
      <c r="B498" s="71"/>
      <c r="C498" s="259" t="s">
        <v>1097</v>
      </c>
      <c r="D498" s="169"/>
      <c r="E498" s="206"/>
      <c r="F498" s="76"/>
      <c r="G498" s="75"/>
      <c r="H498" s="76"/>
    </row>
    <row r="499" spans="1:8" s="150" customFormat="1" ht="27.75">
      <c r="A499" s="70">
        <v>223</v>
      </c>
      <c r="B499" s="162" t="s">
        <v>1464</v>
      </c>
      <c r="C499" s="10" t="s">
        <v>1465</v>
      </c>
      <c r="D499" s="4" t="s">
        <v>1466</v>
      </c>
      <c r="E499" s="151">
        <f>9700*1.07</f>
        <v>10379</v>
      </c>
      <c r="F499" s="101" t="s">
        <v>1456</v>
      </c>
      <c r="G499" s="171" t="s">
        <v>1497</v>
      </c>
      <c r="H499" s="70">
        <v>1</v>
      </c>
    </row>
    <row r="500" spans="1:8" s="150" customFormat="1" ht="27.75">
      <c r="A500" s="76"/>
      <c r="B500" s="71"/>
      <c r="C500" s="72"/>
      <c r="D500" s="89"/>
      <c r="E500" s="74"/>
      <c r="F500" s="76"/>
      <c r="G500" s="75"/>
      <c r="H500" s="76"/>
    </row>
    <row r="501" spans="1:8" s="150" customFormat="1" ht="27.75">
      <c r="A501" s="70">
        <v>224</v>
      </c>
      <c r="B501" s="250" t="s">
        <v>743</v>
      </c>
      <c r="C501" s="159" t="s">
        <v>962</v>
      </c>
      <c r="D501" s="4" t="s">
        <v>1467</v>
      </c>
      <c r="E501" s="155">
        <f>57160*1.07</f>
        <v>61161.200000000004</v>
      </c>
      <c r="F501" s="101" t="s">
        <v>1456</v>
      </c>
      <c r="G501" s="171" t="s">
        <v>1468</v>
      </c>
      <c r="H501" s="70">
        <v>1</v>
      </c>
    </row>
    <row r="502" spans="1:8" s="150" customFormat="1" ht="27.75">
      <c r="A502" s="76"/>
      <c r="B502" s="71"/>
      <c r="C502" s="72"/>
      <c r="D502" s="89"/>
      <c r="E502" s="74"/>
      <c r="F502" s="204"/>
      <c r="G502" s="170"/>
      <c r="H502" s="80"/>
    </row>
    <row r="503" spans="1:8" s="150" customFormat="1" ht="27.75">
      <c r="A503" s="70">
        <v>225</v>
      </c>
      <c r="B503" s="185" t="s">
        <v>1395</v>
      </c>
      <c r="C503" s="10" t="s">
        <v>1396</v>
      </c>
      <c r="D503" s="152" t="s">
        <v>1469</v>
      </c>
      <c r="E503" s="151">
        <f>33600*1.07</f>
        <v>35952</v>
      </c>
      <c r="F503" s="101" t="s">
        <v>1456</v>
      </c>
      <c r="G503" s="26" t="s">
        <v>1470</v>
      </c>
      <c r="H503" s="70">
        <v>1</v>
      </c>
    </row>
    <row r="504" spans="1:8" s="150" customFormat="1" ht="27.75">
      <c r="A504" s="76"/>
      <c r="B504" s="71"/>
      <c r="C504" s="72"/>
      <c r="D504" s="89"/>
      <c r="E504" s="74"/>
      <c r="F504" s="76"/>
      <c r="G504" s="75"/>
      <c r="H504" s="76"/>
    </row>
    <row r="505" spans="1:8" s="150" customFormat="1" ht="27.75">
      <c r="A505" s="70">
        <v>226</v>
      </c>
      <c r="B505" s="226" t="s">
        <v>54</v>
      </c>
      <c r="C505" s="159" t="s">
        <v>243</v>
      </c>
      <c r="D505" s="4" t="s">
        <v>1471</v>
      </c>
      <c r="E505" s="155">
        <f>3750*1.07</f>
        <v>4012.5000000000005</v>
      </c>
      <c r="F505" s="116" t="s">
        <v>1456</v>
      </c>
      <c r="G505" s="171" t="s">
        <v>1472</v>
      </c>
      <c r="H505" s="70">
        <v>1</v>
      </c>
    </row>
    <row r="506" spans="1:8" s="150" customFormat="1" ht="27.75">
      <c r="A506" s="76"/>
      <c r="B506" s="71"/>
      <c r="C506" s="72"/>
      <c r="D506" s="89"/>
      <c r="E506" s="86"/>
      <c r="F506" s="76"/>
      <c r="G506" s="170"/>
      <c r="H506" s="76"/>
    </row>
    <row r="507" spans="1:8" s="150" customFormat="1" ht="27.75">
      <c r="A507" s="70">
        <v>227</v>
      </c>
      <c r="B507" s="28" t="s">
        <v>54</v>
      </c>
      <c r="C507" s="285" t="s">
        <v>243</v>
      </c>
      <c r="D507" s="4" t="s">
        <v>562</v>
      </c>
      <c r="E507" s="151">
        <f>23473*1.07</f>
        <v>25116.11</v>
      </c>
      <c r="F507" s="101" t="s">
        <v>1501</v>
      </c>
      <c r="G507" s="160" t="s">
        <v>1502</v>
      </c>
      <c r="H507" s="70">
        <v>1</v>
      </c>
    </row>
    <row r="508" spans="1:8" s="150" customFormat="1" ht="27.75">
      <c r="A508" s="76"/>
      <c r="B508" s="76"/>
      <c r="C508" s="72"/>
      <c r="D508" s="89" t="s">
        <v>207</v>
      </c>
      <c r="E508" s="74"/>
      <c r="F508" s="76"/>
      <c r="G508" s="170"/>
      <c r="H508" s="76"/>
    </row>
    <row r="509" spans="1:8" s="150" customFormat="1" ht="27.75">
      <c r="A509" s="70">
        <v>228</v>
      </c>
      <c r="B509" s="24" t="s">
        <v>141</v>
      </c>
      <c r="C509" s="286" t="s">
        <v>142</v>
      </c>
      <c r="D509" s="4" t="s">
        <v>1503</v>
      </c>
      <c r="E509" s="155">
        <f>2560*1.07</f>
        <v>2739.2000000000003</v>
      </c>
      <c r="F509" s="101" t="s">
        <v>1501</v>
      </c>
      <c r="G509" s="160" t="s">
        <v>1504</v>
      </c>
      <c r="H509" s="80">
        <v>1</v>
      </c>
    </row>
    <row r="510" spans="1:8" s="150" customFormat="1" ht="27.75">
      <c r="A510" s="76"/>
      <c r="B510" s="76"/>
      <c r="C510" s="72"/>
      <c r="D510" s="89" t="s">
        <v>19</v>
      </c>
      <c r="E510" s="74"/>
      <c r="F510" s="76"/>
      <c r="G510" s="170"/>
      <c r="H510" s="80"/>
    </row>
    <row r="511" spans="1:8" s="150" customFormat="1" ht="27.75">
      <c r="A511" s="70">
        <v>229</v>
      </c>
      <c r="B511" s="37" t="s">
        <v>27</v>
      </c>
      <c r="C511" s="159" t="s">
        <v>1505</v>
      </c>
      <c r="D511" s="4" t="s">
        <v>1506</v>
      </c>
      <c r="E511" s="155">
        <f>85500*1.07</f>
        <v>91485</v>
      </c>
      <c r="F511" s="101" t="s">
        <v>1501</v>
      </c>
      <c r="G511" s="160" t="s">
        <v>1507</v>
      </c>
      <c r="H511" s="70">
        <v>1</v>
      </c>
    </row>
    <row r="512" spans="1:8" s="150" customFormat="1" ht="27.75">
      <c r="A512" s="76"/>
      <c r="B512" s="178"/>
      <c r="C512" s="72"/>
      <c r="D512" s="89" t="s">
        <v>1508</v>
      </c>
      <c r="E512" s="86"/>
      <c r="F512" s="178"/>
      <c r="G512" s="170"/>
      <c r="H512" s="76"/>
    </row>
    <row r="513" spans="1:8" s="150" customFormat="1" ht="27.75">
      <c r="A513" s="70">
        <v>230</v>
      </c>
      <c r="B513" s="44" t="s">
        <v>40</v>
      </c>
      <c r="C513" s="159" t="s">
        <v>41</v>
      </c>
      <c r="D513" s="4" t="s">
        <v>1509</v>
      </c>
      <c r="E513" s="155">
        <f>10200*1.07</f>
        <v>10914</v>
      </c>
      <c r="F513" s="101" t="s">
        <v>1501</v>
      </c>
      <c r="G513" s="160" t="s">
        <v>1510</v>
      </c>
      <c r="H513" s="70">
        <v>1</v>
      </c>
    </row>
    <row r="514" spans="1:8" s="150" customFormat="1" ht="27.75">
      <c r="A514" s="76"/>
      <c r="B514" s="76"/>
      <c r="C514" s="72" t="s">
        <v>1511</v>
      </c>
      <c r="D514" s="89"/>
      <c r="E514" s="74"/>
      <c r="F514" s="204"/>
      <c r="G514" s="170"/>
      <c r="H514" s="76"/>
    </row>
    <row r="515" spans="1:8" s="150" customFormat="1" ht="27.75">
      <c r="A515" s="70">
        <v>231</v>
      </c>
      <c r="B515" s="36" t="s">
        <v>14</v>
      </c>
      <c r="C515" s="159" t="s">
        <v>15</v>
      </c>
      <c r="D515" s="4" t="s">
        <v>1512</v>
      </c>
      <c r="E515" s="155">
        <f>2320*1.07</f>
        <v>2482.4</v>
      </c>
      <c r="F515" s="101" t="s">
        <v>1501</v>
      </c>
      <c r="G515" s="160" t="s">
        <v>1513</v>
      </c>
      <c r="H515" s="80">
        <v>1</v>
      </c>
    </row>
    <row r="516" spans="1:8" s="150" customFormat="1" ht="27.75">
      <c r="A516" s="76"/>
      <c r="B516" s="80"/>
      <c r="C516" s="77"/>
      <c r="D516" s="78"/>
      <c r="E516" s="83"/>
      <c r="F516" s="80"/>
      <c r="G516" s="175"/>
      <c r="H516" s="80"/>
    </row>
    <row r="517" spans="1:8" s="150" customFormat="1" ht="27.75">
      <c r="A517" s="70">
        <v>232</v>
      </c>
      <c r="B517" s="134" t="s">
        <v>488</v>
      </c>
      <c r="C517" s="10" t="s">
        <v>369</v>
      </c>
      <c r="D517" s="152" t="s">
        <v>1514</v>
      </c>
      <c r="E517" s="151">
        <f>65000*1.07</f>
        <v>69550</v>
      </c>
      <c r="F517" s="101" t="s">
        <v>1501</v>
      </c>
      <c r="G517" s="181" t="s">
        <v>1515</v>
      </c>
      <c r="H517" s="70">
        <v>1</v>
      </c>
    </row>
    <row r="518" spans="1:8" s="150" customFormat="1" ht="27.75">
      <c r="A518" s="76"/>
      <c r="B518" s="76"/>
      <c r="C518" s="72"/>
      <c r="D518" s="89"/>
      <c r="E518" s="74"/>
      <c r="F518" s="76"/>
      <c r="G518" s="170"/>
      <c r="H518" s="76"/>
    </row>
    <row r="519" spans="1:8" s="150" customFormat="1" ht="27.75">
      <c r="A519" s="70">
        <v>233</v>
      </c>
      <c r="B519" s="57" t="s">
        <v>54</v>
      </c>
      <c r="C519" s="159" t="s">
        <v>243</v>
      </c>
      <c r="D519" s="4" t="s">
        <v>1516</v>
      </c>
      <c r="E519" s="249">
        <f>910*1.07</f>
        <v>973.7</v>
      </c>
      <c r="F519" s="101" t="s">
        <v>1501</v>
      </c>
      <c r="G519" s="160" t="s">
        <v>1517</v>
      </c>
      <c r="H519" s="70">
        <v>1</v>
      </c>
    </row>
    <row r="520" spans="1:8" s="150" customFormat="1" ht="27.75">
      <c r="A520" s="76"/>
      <c r="B520" s="76"/>
      <c r="C520" s="72"/>
      <c r="D520" s="89" t="s">
        <v>138</v>
      </c>
      <c r="E520" s="74"/>
      <c r="F520" s="76"/>
      <c r="G520" s="170"/>
      <c r="H520" s="76"/>
    </row>
    <row r="521" spans="1:8" ht="27.75">
      <c r="A521" s="70">
        <v>234</v>
      </c>
      <c r="B521" s="264" t="s">
        <v>1863</v>
      </c>
      <c r="C521" s="120" t="s">
        <v>1864</v>
      </c>
      <c r="D521" s="262" t="s">
        <v>1865</v>
      </c>
      <c r="E521" s="68">
        <v>120696</v>
      </c>
      <c r="F521" s="101" t="s">
        <v>1501</v>
      </c>
      <c r="G521" s="70" t="s">
        <v>1866</v>
      </c>
      <c r="H521" s="70">
        <v>1</v>
      </c>
    </row>
    <row r="522" spans="1:8" ht="27.75">
      <c r="A522" s="76"/>
      <c r="B522" s="75"/>
      <c r="C522" s="121"/>
      <c r="D522" s="89" t="s">
        <v>1867</v>
      </c>
      <c r="E522" s="74"/>
      <c r="F522" s="75"/>
      <c r="G522" s="76"/>
      <c r="H522" s="76"/>
    </row>
    <row r="523" spans="1:8" s="43" customFormat="1" ht="27.75">
      <c r="A523" s="84"/>
      <c r="B523" s="84"/>
      <c r="C523" s="128"/>
      <c r="D523" s="82"/>
      <c r="E523" s="94"/>
      <c r="F523" s="84"/>
      <c r="G523" s="84"/>
      <c r="H523" s="84"/>
    </row>
    <row r="524" spans="1:8" s="150" customFormat="1" ht="27.75">
      <c r="A524" s="345" t="s">
        <v>561</v>
      </c>
      <c r="B524" s="347" t="s">
        <v>0</v>
      </c>
      <c r="C524" s="349" t="s">
        <v>1</v>
      </c>
      <c r="D524" s="336" t="s">
        <v>2</v>
      </c>
      <c r="E524" s="345" t="s">
        <v>3</v>
      </c>
      <c r="F524" s="340" t="s">
        <v>4</v>
      </c>
      <c r="G524" s="344"/>
      <c r="H524" s="336" t="s">
        <v>5</v>
      </c>
    </row>
    <row r="525" spans="1:8" s="150" customFormat="1" ht="53.25" customHeight="1">
      <c r="A525" s="346"/>
      <c r="B525" s="348"/>
      <c r="C525" s="350"/>
      <c r="D525" s="337"/>
      <c r="E525" s="346"/>
      <c r="F525" s="283" t="s">
        <v>6</v>
      </c>
      <c r="G525" s="283" t="s">
        <v>7</v>
      </c>
      <c r="H525" s="337"/>
    </row>
    <row r="526" spans="1:8" ht="27.75">
      <c r="A526" s="70">
        <v>235</v>
      </c>
      <c r="B526" s="105" t="s">
        <v>100</v>
      </c>
      <c r="C526" s="120" t="s">
        <v>101</v>
      </c>
      <c r="D526" s="262" t="s">
        <v>1868</v>
      </c>
      <c r="E526" s="68">
        <v>1686320</v>
      </c>
      <c r="F526" s="101" t="s">
        <v>1501</v>
      </c>
      <c r="G526" s="70" t="s">
        <v>1869</v>
      </c>
      <c r="H526" s="70">
        <v>1</v>
      </c>
    </row>
    <row r="527" spans="1:8" ht="27.75">
      <c r="A527" s="76"/>
      <c r="B527" s="75"/>
      <c r="C527" s="121"/>
      <c r="D527" s="89"/>
      <c r="E527" s="74"/>
      <c r="F527" s="75"/>
      <c r="G527" s="76"/>
      <c r="H527" s="76"/>
    </row>
    <row r="528" spans="1:8" ht="27.75">
      <c r="A528" s="70">
        <v>236</v>
      </c>
      <c r="B528" s="84" t="s">
        <v>1870</v>
      </c>
      <c r="C528" s="125" t="s">
        <v>1203</v>
      </c>
      <c r="D528" s="82" t="s">
        <v>1871</v>
      </c>
      <c r="E528" s="79">
        <v>125000</v>
      </c>
      <c r="F528" s="101" t="s">
        <v>1501</v>
      </c>
      <c r="G528" s="70" t="s">
        <v>1872</v>
      </c>
      <c r="H528" s="80">
        <v>1</v>
      </c>
    </row>
    <row r="529" spans="1:8" ht="27.75">
      <c r="A529" s="76"/>
      <c r="B529" s="84"/>
      <c r="C529" s="125"/>
      <c r="D529" s="82"/>
      <c r="E529" s="83"/>
      <c r="F529" s="84"/>
      <c r="G529" s="80"/>
      <c r="H529" s="80"/>
    </row>
    <row r="530" spans="1:8" s="150" customFormat="1" ht="27.75">
      <c r="A530" s="70">
        <v>237</v>
      </c>
      <c r="B530" s="22" t="s">
        <v>1259</v>
      </c>
      <c r="C530" s="10" t="s">
        <v>1518</v>
      </c>
      <c r="D530" s="211" t="s">
        <v>1519</v>
      </c>
      <c r="E530" s="151">
        <f>22000*1.07</f>
        <v>23540</v>
      </c>
      <c r="F530" s="101" t="s">
        <v>1520</v>
      </c>
      <c r="G530" s="108" t="s">
        <v>1521</v>
      </c>
      <c r="H530" s="70">
        <v>1</v>
      </c>
    </row>
    <row r="531" spans="1:8" s="150" customFormat="1" ht="27.75">
      <c r="A531" s="76"/>
      <c r="B531" s="76"/>
      <c r="C531" s="72"/>
      <c r="D531" s="89" t="s">
        <v>1522</v>
      </c>
      <c r="E531" s="74"/>
      <c r="F531" s="76"/>
      <c r="G531" s="170"/>
      <c r="H531" s="76"/>
    </row>
    <row r="532" spans="1:8" s="150" customFormat="1" ht="27.75">
      <c r="A532" s="70">
        <v>238</v>
      </c>
      <c r="B532" s="28" t="s">
        <v>9</v>
      </c>
      <c r="C532" s="159" t="s">
        <v>50</v>
      </c>
      <c r="D532" s="4" t="s">
        <v>11</v>
      </c>
      <c r="E532" s="249">
        <f>900*1.07</f>
        <v>963</v>
      </c>
      <c r="F532" s="101" t="s">
        <v>1520</v>
      </c>
      <c r="G532" s="160" t="s">
        <v>1523</v>
      </c>
      <c r="H532" s="70">
        <v>1</v>
      </c>
    </row>
    <row r="533" spans="1:8" s="150" customFormat="1" ht="27.75">
      <c r="A533" s="76"/>
      <c r="B533" s="80"/>
      <c r="C533" s="159"/>
      <c r="D533" s="78"/>
      <c r="E533" s="83"/>
      <c r="F533" s="80"/>
      <c r="G533" s="175"/>
      <c r="H533" s="76"/>
    </row>
    <row r="534" spans="1:8" s="150" customFormat="1" ht="27.75">
      <c r="A534" s="70">
        <v>239</v>
      </c>
      <c r="B534" s="22" t="s">
        <v>1524</v>
      </c>
      <c r="C534" s="10" t="s">
        <v>1525</v>
      </c>
      <c r="D534" s="152" t="s">
        <v>1526</v>
      </c>
      <c r="E534" s="151">
        <f>6500*1.07</f>
        <v>6955</v>
      </c>
      <c r="F534" s="101" t="s">
        <v>1520</v>
      </c>
      <c r="G534" s="181" t="s">
        <v>1527</v>
      </c>
      <c r="H534" s="70">
        <v>1</v>
      </c>
    </row>
    <row r="535" spans="1:8" ht="27.75" customHeight="1">
      <c r="A535" s="76"/>
      <c r="B535" s="178"/>
      <c r="C535" s="72"/>
      <c r="D535" s="89" t="s">
        <v>1528</v>
      </c>
      <c r="E535" s="86"/>
      <c r="F535" s="178"/>
      <c r="G535" s="170"/>
      <c r="H535" s="80"/>
    </row>
    <row r="536" spans="1:8" ht="27.75">
      <c r="A536" s="70">
        <v>240</v>
      </c>
      <c r="B536" s="22" t="s">
        <v>58</v>
      </c>
      <c r="C536" s="159" t="s">
        <v>270</v>
      </c>
      <c r="D536" s="4" t="s">
        <v>1529</v>
      </c>
      <c r="E536" s="155">
        <f>1500*1.07</f>
        <v>1605</v>
      </c>
      <c r="F536" s="101" t="s">
        <v>1520</v>
      </c>
      <c r="G536" s="160" t="s">
        <v>1530</v>
      </c>
      <c r="H536" s="70">
        <v>1</v>
      </c>
    </row>
    <row r="537" spans="1:8" s="150" customFormat="1" ht="27.75">
      <c r="A537" s="76"/>
      <c r="B537" s="76"/>
      <c r="C537" s="72"/>
      <c r="D537" s="18"/>
      <c r="E537" s="74"/>
      <c r="F537" s="76"/>
      <c r="G537" s="170"/>
      <c r="H537" s="76"/>
    </row>
    <row r="538" spans="1:8" s="150" customFormat="1" ht="27.75">
      <c r="A538" s="70">
        <v>241</v>
      </c>
      <c r="B538" s="24" t="s">
        <v>141</v>
      </c>
      <c r="C538" s="159" t="s">
        <v>142</v>
      </c>
      <c r="D538" s="4" t="s">
        <v>1116</v>
      </c>
      <c r="E538" s="155">
        <f>2250*1.07</f>
        <v>2407.5</v>
      </c>
      <c r="F538" s="101" t="s">
        <v>1520</v>
      </c>
      <c r="G538" s="160" t="s">
        <v>1531</v>
      </c>
      <c r="H538" s="80">
        <v>1</v>
      </c>
    </row>
    <row r="539" spans="1:8" s="150" customFormat="1" ht="27.75">
      <c r="A539" s="76"/>
      <c r="B539" s="76"/>
      <c r="C539" s="72"/>
      <c r="D539" s="89"/>
      <c r="E539" s="74"/>
      <c r="F539" s="76"/>
      <c r="G539" s="170"/>
      <c r="H539" s="76"/>
    </row>
    <row r="540" spans="1:8" s="150" customFormat="1" ht="27.75">
      <c r="A540" s="70">
        <v>242</v>
      </c>
      <c r="B540" s="57" t="s">
        <v>54</v>
      </c>
      <c r="C540" s="159" t="s">
        <v>243</v>
      </c>
      <c r="D540" s="4" t="s">
        <v>1339</v>
      </c>
      <c r="E540" s="155">
        <f>2600*1.07</f>
        <v>2782</v>
      </c>
      <c r="F540" s="101" t="s">
        <v>1520</v>
      </c>
      <c r="G540" s="160" t="s">
        <v>1532</v>
      </c>
      <c r="H540" s="70">
        <v>1</v>
      </c>
    </row>
    <row r="541" spans="1:8" s="150" customFormat="1" ht="27.75">
      <c r="A541" s="76"/>
      <c r="B541" s="76"/>
      <c r="C541" s="72"/>
      <c r="D541" s="89"/>
      <c r="E541" s="74"/>
      <c r="F541" s="76"/>
      <c r="G541" s="170"/>
      <c r="H541" s="76"/>
    </row>
    <row r="542" spans="1:8" ht="27.75">
      <c r="A542" s="70">
        <v>243</v>
      </c>
      <c r="B542" s="264" t="s">
        <v>1873</v>
      </c>
      <c r="C542" s="120" t="s">
        <v>1874</v>
      </c>
      <c r="D542" s="262" t="s">
        <v>1875</v>
      </c>
      <c r="E542" s="68">
        <v>292000</v>
      </c>
      <c r="F542" s="101" t="s">
        <v>1520</v>
      </c>
      <c r="G542" s="70" t="s">
        <v>1876</v>
      </c>
      <c r="H542" s="70">
        <v>1</v>
      </c>
    </row>
    <row r="543" spans="1:8" ht="27.75">
      <c r="A543" s="76"/>
      <c r="B543" s="75"/>
      <c r="C543" s="121"/>
      <c r="D543" s="89"/>
      <c r="E543" s="74"/>
      <c r="F543" s="75"/>
      <c r="G543" s="76"/>
      <c r="H543" s="76"/>
    </row>
    <row r="544" spans="1:8" ht="27.75">
      <c r="A544" s="70">
        <v>244</v>
      </c>
      <c r="B544" s="264" t="s">
        <v>1877</v>
      </c>
      <c r="C544" s="120" t="s">
        <v>1878</v>
      </c>
      <c r="D544" s="262" t="s">
        <v>1879</v>
      </c>
      <c r="E544" s="68">
        <v>464380</v>
      </c>
      <c r="F544" s="101" t="s">
        <v>1520</v>
      </c>
      <c r="G544" s="70" t="s">
        <v>1880</v>
      </c>
      <c r="H544" s="70">
        <v>1</v>
      </c>
    </row>
    <row r="545" spans="1:8" ht="27.75">
      <c r="A545" s="76"/>
      <c r="B545" s="75"/>
      <c r="C545" s="121"/>
      <c r="D545" s="89"/>
      <c r="E545" s="74"/>
      <c r="F545" s="75"/>
      <c r="G545" s="76"/>
      <c r="H545" s="76"/>
    </row>
    <row r="546" spans="1:8" ht="27.75">
      <c r="A546" s="70">
        <v>245</v>
      </c>
      <c r="B546" s="97" t="s">
        <v>100</v>
      </c>
      <c r="C546" s="125" t="s">
        <v>101</v>
      </c>
      <c r="D546" s="82" t="s">
        <v>1881</v>
      </c>
      <c r="E546" s="79">
        <v>1248797</v>
      </c>
      <c r="F546" s="116" t="s">
        <v>1520</v>
      </c>
      <c r="G546" s="80" t="s">
        <v>1882</v>
      </c>
      <c r="H546" s="70">
        <v>1</v>
      </c>
    </row>
    <row r="547" spans="1:8" ht="27.75">
      <c r="A547" s="76"/>
      <c r="B547" s="84"/>
      <c r="C547" s="125"/>
      <c r="D547" s="82"/>
      <c r="E547" s="83"/>
      <c r="F547" s="84"/>
      <c r="G547" s="80"/>
      <c r="H547" s="80"/>
    </row>
    <row r="548" spans="1:8" s="150" customFormat="1" ht="27.75">
      <c r="A548" s="70">
        <v>246</v>
      </c>
      <c r="B548" s="24" t="s">
        <v>141</v>
      </c>
      <c r="C548" s="10" t="s">
        <v>340</v>
      </c>
      <c r="D548" s="152" t="s">
        <v>1533</v>
      </c>
      <c r="E548" s="151">
        <f>20892*1.07</f>
        <v>22354.440000000002</v>
      </c>
      <c r="F548" s="101" t="s">
        <v>1534</v>
      </c>
      <c r="G548" s="108" t="s">
        <v>1535</v>
      </c>
      <c r="H548" s="70">
        <v>1</v>
      </c>
    </row>
    <row r="549" spans="1:8" s="150" customFormat="1" ht="27.75">
      <c r="A549" s="76"/>
      <c r="B549" s="76"/>
      <c r="C549" s="17"/>
      <c r="D549" s="89"/>
      <c r="E549" s="74"/>
      <c r="F549" s="76"/>
      <c r="G549" s="170"/>
      <c r="H549" s="76"/>
    </row>
    <row r="550" spans="1:8" s="150" customFormat="1" ht="27.75">
      <c r="A550" s="70">
        <v>247</v>
      </c>
      <c r="B550" s="131" t="s">
        <v>1536</v>
      </c>
      <c r="C550" s="159" t="s">
        <v>132</v>
      </c>
      <c r="D550" s="4" t="s">
        <v>1537</v>
      </c>
      <c r="E550" s="155">
        <f>6000*1.07</f>
        <v>6420</v>
      </c>
      <c r="F550" s="101" t="s">
        <v>1534</v>
      </c>
      <c r="G550" s="160" t="s">
        <v>1538</v>
      </c>
      <c r="H550" s="70">
        <v>1</v>
      </c>
    </row>
    <row r="551" spans="1:8" s="150" customFormat="1" ht="27.75">
      <c r="A551" s="76"/>
      <c r="B551" s="76"/>
      <c r="C551" s="72"/>
      <c r="D551" s="223" t="s">
        <v>1539</v>
      </c>
      <c r="E551" s="74"/>
      <c r="F551" s="76"/>
      <c r="G551" s="170"/>
      <c r="H551" s="76"/>
    </row>
    <row r="552" spans="1:8" s="150" customFormat="1" ht="27.75">
      <c r="A552" s="70">
        <v>248</v>
      </c>
      <c r="B552" s="22" t="s">
        <v>1032</v>
      </c>
      <c r="C552" s="10" t="s">
        <v>505</v>
      </c>
      <c r="D552" s="4" t="s">
        <v>1540</v>
      </c>
      <c r="E552" s="151">
        <f>3880*1.07</f>
        <v>4151.6000000000004</v>
      </c>
      <c r="F552" s="101" t="s">
        <v>1534</v>
      </c>
      <c r="G552" s="160" t="s">
        <v>1541</v>
      </c>
      <c r="H552" s="80">
        <v>1</v>
      </c>
    </row>
    <row r="553" spans="1:8" s="150" customFormat="1" ht="27.75">
      <c r="A553" s="76"/>
      <c r="B553" s="71"/>
      <c r="C553" s="72"/>
      <c r="D553" s="247"/>
      <c r="E553" s="86"/>
      <c r="F553" s="76"/>
      <c r="G553" s="170"/>
      <c r="H553" s="76"/>
    </row>
    <row r="554" spans="1:8" s="150" customFormat="1" ht="27.75">
      <c r="A554" s="70">
        <v>249</v>
      </c>
      <c r="B554" s="171" t="s">
        <v>1542</v>
      </c>
      <c r="C554" s="159" t="s">
        <v>1543</v>
      </c>
      <c r="D554" s="4" t="s">
        <v>1544</v>
      </c>
      <c r="E554" s="155">
        <f>52600*1.07</f>
        <v>56282</v>
      </c>
      <c r="F554" s="101" t="s">
        <v>1534</v>
      </c>
      <c r="G554" s="160" t="s">
        <v>1545</v>
      </c>
      <c r="H554" s="80">
        <v>1</v>
      </c>
    </row>
    <row r="555" spans="1:8" s="150" customFormat="1" ht="27.75">
      <c r="A555" s="76"/>
      <c r="B555" s="71"/>
      <c r="C555" s="72"/>
      <c r="D555" s="89" t="s">
        <v>1546</v>
      </c>
      <c r="E555" s="74"/>
      <c r="F555" s="76"/>
      <c r="G555" s="170"/>
      <c r="H555" s="80"/>
    </row>
    <row r="556" spans="1:8" ht="27.75">
      <c r="A556" s="70">
        <v>250</v>
      </c>
      <c r="B556" s="105" t="s">
        <v>100</v>
      </c>
      <c r="C556" s="120" t="s">
        <v>101</v>
      </c>
      <c r="D556" s="262" t="s">
        <v>1883</v>
      </c>
      <c r="E556" s="68">
        <v>4027159</v>
      </c>
      <c r="F556" s="101" t="s">
        <v>1534</v>
      </c>
      <c r="G556" s="70" t="s">
        <v>1884</v>
      </c>
      <c r="H556" s="70">
        <v>1</v>
      </c>
    </row>
    <row r="557" spans="1:8" ht="27.75">
      <c r="A557" s="76"/>
      <c r="B557" s="75"/>
      <c r="C557" s="121"/>
      <c r="D557" s="89"/>
      <c r="E557" s="74"/>
      <c r="F557" s="75"/>
      <c r="G557" s="76"/>
      <c r="H557" s="76"/>
    </row>
    <row r="558" spans="1:8" s="43" customFormat="1" ht="27.75">
      <c r="A558" s="84"/>
      <c r="B558" s="84"/>
      <c r="C558" s="128"/>
      <c r="D558" s="82"/>
      <c r="E558" s="94"/>
      <c r="F558" s="84"/>
      <c r="G558" s="84"/>
      <c r="H558" s="84"/>
    </row>
    <row r="559" spans="1:8" s="150" customFormat="1" ht="27.75">
      <c r="A559" s="336" t="s">
        <v>561</v>
      </c>
      <c r="B559" s="347" t="s">
        <v>0</v>
      </c>
      <c r="C559" s="336" t="s">
        <v>1</v>
      </c>
      <c r="D559" s="336" t="s">
        <v>2</v>
      </c>
      <c r="E559" s="336" t="s">
        <v>3</v>
      </c>
      <c r="F559" s="340" t="s">
        <v>4</v>
      </c>
      <c r="G559" s="344"/>
      <c r="H559" s="336" t="s">
        <v>5</v>
      </c>
    </row>
    <row r="560" spans="1:8" s="150" customFormat="1" ht="56.25" customHeight="1">
      <c r="A560" s="337"/>
      <c r="B560" s="348"/>
      <c r="C560" s="337"/>
      <c r="D560" s="337"/>
      <c r="E560" s="337"/>
      <c r="F560" s="284" t="s">
        <v>6</v>
      </c>
      <c r="G560" s="283" t="s">
        <v>7</v>
      </c>
      <c r="H560" s="337"/>
    </row>
    <row r="561" spans="1:8" ht="27.75">
      <c r="A561" s="70">
        <v>251</v>
      </c>
      <c r="B561" s="133" t="s">
        <v>508</v>
      </c>
      <c r="C561" s="159" t="s">
        <v>1885</v>
      </c>
      <c r="D561" s="262" t="s">
        <v>1886</v>
      </c>
      <c r="E561" s="155">
        <v>1541005.44</v>
      </c>
      <c r="F561" s="101" t="s">
        <v>1534</v>
      </c>
      <c r="G561" s="70" t="s">
        <v>1887</v>
      </c>
      <c r="H561" s="70">
        <v>1</v>
      </c>
    </row>
    <row r="562" spans="1:8" ht="27.75">
      <c r="A562" s="76"/>
      <c r="B562" s="78"/>
      <c r="C562" s="77"/>
      <c r="D562" s="78" t="s">
        <v>1888</v>
      </c>
      <c r="E562" s="240"/>
      <c r="F562" s="78"/>
      <c r="G562" s="77"/>
      <c r="H562" s="76"/>
    </row>
    <row r="563" spans="1:8" ht="27.75">
      <c r="A563" s="70">
        <v>252</v>
      </c>
      <c r="B563" s="25" t="s">
        <v>1889</v>
      </c>
      <c r="C563" s="66" t="s">
        <v>1890</v>
      </c>
      <c r="D563" s="67" t="s">
        <v>1891</v>
      </c>
      <c r="E563" s="242">
        <v>1186737.3999999999</v>
      </c>
      <c r="F563" s="101" t="s">
        <v>1534</v>
      </c>
      <c r="G563" s="70" t="s">
        <v>1892</v>
      </c>
      <c r="H563" s="70">
        <v>1</v>
      </c>
    </row>
    <row r="564" spans="1:8" ht="27.75">
      <c r="A564" s="76"/>
      <c r="B564" s="73"/>
      <c r="C564" s="72"/>
      <c r="D564" s="73"/>
      <c r="E564" s="239"/>
      <c r="F564" s="73"/>
      <c r="G564" s="72"/>
      <c r="H564" s="76"/>
    </row>
    <row r="565" spans="1:8" s="150" customFormat="1" ht="27.75">
      <c r="A565" s="70">
        <v>253</v>
      </c>
      <c r="B565" s="119" t="s">
        <v>124</v>
      </c>
      <c r="C565" s="159" t="s">
        <v>776</v>
      </c>
      <c r="D565" s="4" t="s">
        <v>1547</v>
      </c>
      <c r="E565" s="155">
        <f>25300*1.07</f>
        <v>27071</v>
      </c>
      <c r="F565" s="101" t="s">
        <v>1548</v>
      </c>
      <c r="G565" s="160" t="s">
        <v>1549</v>
      </c>
      <c r="H565" s="70">
        <v>1</v>
      </c>
    </row>
    <row r="566" spans="1:8" s="150" customFormat="1" ht="27.75">
      <c r="A566" s="76"/>
      <c r="B566" s="71" t="s">
        <v>1550</v>
      </c>
      <c r="C566" s="72"/>
      <c r="D566" s="89"/>
      <c r="E566" s="74"/>
      <c r="F566" s="76"/>
      <c r="G566" s="170"/>
      <c r="H566" s="76"/>
    </row>
    <row r="567" spans="1:8" s="150" customFormat="1" ht="27.75">
      <c r="A567" s="70">
        <v>254</v>
      </c>
      <c r="B567" s="133" t="s">
        <v>508</v>
      </c>
      <c r="C567" s="159" t="s">
        <v>509</v>
      </c>
      <c r="D567" s="4" t="s">
        <v>1551</v>
      </c>
      <c r="E567" s="155">
        <f>27520*1.07</f>
        <v>29446.400000000001</v>
      </c>
      <c r="F567" s="101" t="s">
        <v>1548</v>
      </c>
      <c r="G567" s="160" t="s">
        <v>1552</v>
      </c>
      <c r="H567" s="70">
        <v>1</v>
      </c>
    </row>
    <row r="568" spans="1:8" s="150" customFormat="1" ht="27.75">
      <c r="A568" s="76"/>
      <c r="B568" s="71"/>
      <c r="C568" s="72"/>
      <c r="D568" s="89" t="s">
        <v>207</v>
      </c>
      <c r="E568" s="74"/>
      <c r="F568" s="76"/>
      <c r="G568" s="170"/>
      <c r="H568" s="76"/>
    </row>
    <row r="569" spans="1:8" s="150" customFormat="1" ht="27.75">
      <c r="A569" s="70">
        <v>255</v>
      </c>
      <c r="B569" s="162" t="s">
        <v>1023</v>
      </c>
      <c r="C569" s="10" t="s">
        <v>1024</v>
      </c>
      <c r="D569" s="152" t="s">
        <v>1553</v>
      </c>
      <c r="E569" s="151">
        <f>28000*1.07</f>
        <v>29960</v>
      </c>
      <c r="F569" s="101" t="s">
        <v>1548</v>
      </c>
      <c r="G569" s="108" t="s">
        <v>1554</v>
      </c>
      <c r="H569" s="80">
        <v>1</v>
      </c>
    </row>
    <row r="570" spans="1:8" s="150" customFormat="1" ht="27.75">
      <c r="A570" s="76"/>
      <c r="B570" s="71"/>
      <c r="C570" s="72"/>
      <c r="D570" s="89"/>
      <c r="E570" s="74"/>
      <c r="F570" s="76"/>
      <c r="G570" s="75"/>
      <c r="H570" s="76"/>
    </row>
    <row r="571" spans="1:8" s="150" customFormat="1" ht="27.75">
      <c r="A571" s="70">
        <v>256</v>
      </c>
      <c r="B571" s="287" t="s">
        <v>40</v>
      </c>
      <c r="C571" s="159" t="s">
        <v>41</v>
      </c>
      <c r="D571" s="4" t="s">
        <v>1555</v>
      </c>
      <c r="E571" s="155">
        <f>12577*1.07</f>
        <v>13457.390000000001</v>
      </c>
      <c r="F571" s="116" t="s">
        <v>1548</v>
      </c>
      <c r="G571" s="160" t="s">
        <v>1556</v>
      </c>
      <c r="H571" s="80">
        <v>1</v>
      </c>
    </row>
    <row r="572" spans="1:8" s="150" customFormat="1" ht="27.75">
      <c r="A572" s="76"/>
      <c r="B572" s="71"/>
      <c r="C572" s="72" t="s">
        <v>44</v>
      </c>
      <c r="D572" s="89" t="s">
        <v>349</v>
      </c>
      <c r="E572" s="74"/>
      <c r="F572" s="76"/>
      <c r="G572" s="170"/>
      <c r="H572" s="76"/>
    </row>
    <row r="573" spans="1:8" s="150" customFormat="1" ht="27.75">
      <c r="A573" s="70">
        <v>257</v>
      </c>
      <c r="B573" s="36" t="s">
        <v>14</v>
      </c>
      <c r="C573" s="159" t="s">
        <v>15</v>
      </c>
      <c r="D573" s="4" t="s">
        <v>1557</v>
      </c>
      <c r="E573" s="155">
        <f>17518.8*1.07</f>
        <v>18745.116000000002</v>
      </c>
      <c r="F573" s="101" t="s">
        <v>1548</v>
      </c>
      <c r="G573" s="160" t="s">
        <v>1558</v>
      </c>
      <c r="H573" s="80">
        <v>1</v>
      </c>
    </row>
    <row r="574" spans="1:8" s="150" customFormat="1" ht="27.75">
      <c r="A574" s="76"/>
      <c r="B574" s="81"/>
      <c r="C574" s="77"/>
      <c r="D574" s="78"/>
      <c r="E574" s="83"/>
      <c r="F574" s="80"/>
      <c r="G574" s="175"/>
      <c r="H574" s="80"/>
    </row>
    <row r="575" spans="1:8" s="150" customFormat="1" ht="27.75">
      <c r="A575" s="70">
        <v>258</v>
      </c>
      <c r="B575" s="24" t="s">
        <v>158</v>
      </c>
      <c r="C575" s="10" t="s">
        <v>159</v>
      </c>
      <c r="D575" s="152" t="s">
        <v>1559</v>
      </c>
      <c r="E575" s="151">
        <f>58100*1.07</f>
        <v>62167</v>
      </c>
      <c r="F575" s="101" t="s">
        <v>1548</v>
      </c>
      <c r="G575" s="181" t="s">
        <v>1560</v>
      </c>
      <c r="H575" s="70">
        <v>1</v>
      </c>
    </row>
    <row r="576" spans="1:8" s="150" customFormat="1" ht="27.75">
      <c r="A576" s="76"/>
      <c r="B576" s="85"/>
      <c r="C576" s="72"/>
      <c r="D576" s="89" t="s">
        <v>1561</v>
      </c>
      <c r="E576" s="86"/>
      <c r="F576" s="178"/>
      <c r="G576" s="170"/>
      <c r="H576" s="76"/>
    </row>
    <row r="577" spans="1:8" s="150" customFormat="1" ht="27.75">
      <c r="A577" s="70">
        <v>259</v>
      </c>
      <c r="B577" s="126" t="s">
        <v>183</v>
      </c>
      <c r="C577" s="159" t="s">
        <v>184</v>
      </c>
      <c r="D577" s="4" t="s">
        <v>1562</v>
      </c>
      <c r="E577" s="155">
        <f>19980*1.07</f>
        <v>21378.600000000002</v>
      </c>
      <c r="F577" s="101" t="s">
        <v>1548</v>
      </c>
      <c r="G577" s="160" t="s">
        <v>1563</v>
      </c>
      <c r="H577" s="70">
        <v>1</v>
      </c>
    </row>
    <row r="578" spans="1:8" s="150" customFormat="1" ht="27.75">
      <c r="A578" s="76"/>
      <c r="B578" s="81"/>
      <c r="C578" s="77"/>
      <c r="D578" s="82" t="s">
        <v>138</v>
      </c>
      <c r="E578" s="83"/>
      <c r="F578" s="80"/>
      <c r="G578" s="175"/>
      <c r="H578" s="76"/>
    </row>
    <row r="579" spans="1:8" ht="27.75" customHeight="1">
      <c r="A579" s="70">
        <v>260</v>
      </c>
      <c r="B579" s="22" t="s">
        <v>1564</v>
      </c>
      <c r="C579" s="10" t="s">
        <v>1565</v>
      </c>
      <c r="D579" s="152" t="s">
        <v>1566</v>
      </c>
      <c r="E579" s="151">
        <f>19000*1.07</f>
        <v>20330</v>
      </c>
      <c r="F579" s="101" t="s">
        <v>1548</v>
      </c>
      <c r="G579" s="181" t="s">
        <v>1567</v>
      </c>
      <c r="H579" s="70">
        <v>1</v>
      </c>
    </row>
    <row r="580" spans="1:8" ht="27.75">
      <c r="A580" s="76"/>
      <c r="B580" s="76"/>
      <c r="C580" s="17"/>
      <c r="D580" s="89" t="s">
        <v>138</v>
      </c>
      <c r="E580" s="74"/>
      <c r="F580" s="76"/>
      <c r="G580" s="170"/>
      <c r="H580" s="76"/>
    </row>
    <row r="581" spans="1:8" s="150" customFormat="1" ht="27.75">
      <c r="A581" s="70">
        <v>261</v>
      </c>
      <c r="B581" s="179" t="s">
        <v>9</v>
      </c>
      <c r="C581" s="159" t="s">
        <v>50</v>
      </c>
      <c r="D581" s="4" t="s">
        <v>1568</v>
      </c>
      <c r="E581" s="155">
        <f>2430*1.07</f>
        <v>2600.1000000000004</v>
      </c>
      <c r="F581" s="101" t="s">
        <v>1548</v>
      </c>
      <c r="G581" s="160" t="s">
        <v>1569</v>
      </c>
      <c r="H581" s="70">
        <v>1</v>
      </c>
    </row>
    <row r="582" spans="1:8" s="150" customFormat="1" ht="27.75">
      <c r="A582" s="76"/>
      <c r="B582" s="71"/>
      <c r="C582" s="72"/>
      <c r="D582" s="89" t="s">
        <v>636</v>
      </c>
      <c r="E582" s="74"/>
      <c r="F582" s="76"/>
      <c r="G582" s="170"/>
      <c r="H582" s="76"/>
    </row>
    <row r="583" spans="1:8" s="150" customFormat="1" ht="27.75">
      <c r="A583" s="70">
        <v>262</v>
      </c>
      <c r="B583" s="24" t="s">
        <v>200</v>
      </c>
      <c r="C583" s="159" t="s">
        <v>1570</v>
      </c>
      <c r="D583" s="4" t="s">
        <v>1571</v>
      </c>
      <c r="E583" s="155">
        <f>69500*1.07</f>
        <v>74365</v>
      </c>
      <c r="F583" s="101" t="s">
        <v>1548</v>
      </c>
      <c r="G583" s="160" t="s">
        <v>1572</v>
      </c>
      <c r="H583" s="70">
        <v>1</v>
      </c>
    </row>
    <row r="584" spans="1:8" s="150" customFormat="1" ht="27.75">
      <c r="A584" s="76"/>
      <c r="B584" s="81"/>
      <c r="C584" s="77"/>
      <c r="D584" s="78" t="s">
        <v>1573</v>
      </c>
      <c r="E584" s="83"/>
      <c r="F584" s="80"/>
      <c r="G584" s="175"/>
      <c r="H584" s="76"/>
    </row>
    <row r="585" spans="1:8" s="150" customFormat="1" ht="27.75">
      <c r="A585" s="70">
        <v>263</v>
      </c>
      <c r="B585" s="288" t="s">
        <v>54</v>
      </c>
      <c r="C585" s="10" t="s">
        <v>243</v>
      </c>
      <c r="D585" s="152" t="s">
        <v>1574</v>
      </c>
      <c r="E585" s="151">
        <f>10972*1.07</f>
        <v>11740.04</v>
      </c>
      <c r="F585" s="101" t="s">
        <v>1548</v>
      </c>
      <c r="G585" s="181" t="s">
        <v>1575</v>
      </c>
      <c r="H585" s="70">
        <v>1</v>
      </c>
    </row>
    <row r="586" spans="1:8" s="150" customFormat="1" ht="27.75">
      <c r="A586" s="76"/>
      <c r="B586" s="71"/>
      <c r="C586" s="72"/>
      <c r="D586" s="89" t="s">
        <v>138</v>
      </c>
      <c r="E586" s="74"/>
      <c r="F586" s="76"/>
      <c r="G586" s="170"/>
      <c r="H586" s="76"/>
    </row>
    <row r="587" spans="1:8" s="150" customFormat="1" ht="27.75">
      <c r="A587" s="70">
        <v>264</v>
      </c>
      <c r="B587" s="37" t="s">
        <v>27</v>
      </c>
      <c r="C587" s="10" t="s">
        <v>28</v>
      </c>
      <c r="D587" s="152" t="s">
        <v>1576</v>
      </c>
      <c r="E587" s="151">
        <f>7400*1.07</f>
        <v>7918.0000000000009</v>
      </c>
      <c r="F587" s="101" t="s">
        <v>1577</v>
      </c>
      <c r="G587" s="181" t="s">
        <v>1578</v>
      </c>
      <c r="H587" s="70">
        <v>1</v>
      </c>
    </row>
    <row r="588" spans="1:8" s="150" customFormat="1" ht="27.75">
      <c r="A588" s="76"/>
      <c r="B588" s="71"/>
      <c r="C588" s="72"/>
      <c r="D588" s="89"/>
      <c r="E588" s="74"/>
      <c r="F588" s="76"/>
      <c r="G588" s="170"/>
      <c r="H588" s="76"/>
    </row>
    <row r="589" spans="1:8" s="150" customFormat="1" ht="27.75">
      <c r="A589" s="70">
        <v>265</v>
      </c>
      <c r="B589" s="289" t="s">
        <v>54</v>
      </c>
      <c r="C589" s="159" t="s">
        <v>243</v>
      </c>
      <c r="D589" s="2" t="s">
        <v>1579</v>
      </c>
      <c r="E589" s="155">
        <f>8089*1.07</f>
        <v>8655.2300000000014</v>
      </c>
      <c r="F589" s="101" t="s">
        <v>1577</v>
      </c>
      <c r="G589" s="175" t="s">
        <v>1580</v>
      </c>
      <c r="H589" s="70">
        <v>1</v>
      </c>
    </row>
    <row r="590" spans="1:8" s="150" customFormat="1" ht="27.75">
      <c r="A590" s="76"/>
      <c r="B590" s="71"/>
      <c r="C590" s="72"/>
      <c r="D590" s="89" t="s">
        <v>207</v>
      </c>
      <c r="E590" s="74"/>
      <c r="F590" s="76"/>
      <c r="G590" s="170"/>
      <c r="H590" s="76"/>
    </row>
    <row r="591" spans="1:8" s="150" customFormat="1" ht="27.75">
      <c r="A591" s="70">
        <v>266</v>
      </c>
      <c r="B591" s="37" t="s">
        <v>27</v>
      </c>
      <c r="C591" s="152" t="s">
        <v>80</v>
      </c>
      <c r="D591" s="10" t="s">
        <v>1581</v>
      </c>
      <c r="E591" s="11">
        <f>3360*1.07</f>
        <v>3595.2000000000003</v>
      </c>
      <c r="F591" s="101" t="s">
        <v>1577</v>
      </c>
      <c r="G591" s="160" t="s">
        <v>1582</v>
      </c>
      <c r="H591" s="70">
        <v>1</v>
      </c>
    </row>
    <row r="592" spans="1:8" s="150" customFormat="1" ht="27.75">
      <c r="A592" s="76"/>
      <c r="B592" s="71"/>
      <c r="C592" s="115"/>
      <c r="D592" s="17" t="s">
        <v>1583</v>
      </c>
      <c r="E592" s="206"/>
      <c r="F592" s="76"/>
      <c r="G592" s="170"/>
      <c r="H592" s="76"/>
    </row>
    <row r="593" spans="1:8" s="150" customFormat="1" ht="27.75">
      <c r="A593" s="84"/>
      <c r="B593" s="84"/>
      <c r="C593" s="2"/>
      <c r="D593" s="78"/>
      <c r="E593" s="94"/>
      <c r="F593" s="84"/>
      <c r="G593" s="84"/>
      <c r="H593" s="84"/>
    </row>
    <row r="594" spans="1:8" s="150" customFormat="1" ht="27.75">
      <c r="A594" s="336" t="s">
        <v>561</v>
      </c>
      <c r="B594" s="347" t="s">
        <v>0</v>
      </c>
      <c r="C594" s="336" t="s">
        <v>1</v>
      </c>
      <c r="D594" s="336" t="s">
        <v>2</v>
      </c>
      <c r="E594" s="336" t="s">
        <v>3</v>
      </c>
      <c r="F594" s="340" t="s">
        <v>4</v>
      </c>
      <c r="G594" s="344"/>
      <c r="H594" s="336" t="s">
        <v>5</v>
      </c>
    </row>
    <row r="595" spans="1:8" s="150" customFormat="1" ht="57" customHeight="1">
      <c r="A595" s="337"/>
      <c r="B595" s="348"/>
      <c r="C595" s="337"/>
      <c r="D595" s="337"/>
      <c r="E595" s="337"/>
      <c r="F595" s="284" t="s">
        <v>6</v>
      </c>
      <c r="G595" s="283" t="s">
        <v>7</v>
      </c>
      <c r="H595" s="337"/>
    </row>
    <row r="596" spans="1:8" s="150" customFormat="1" ht="27.75">
      <c r="A596" s="80">
        <v>267</v>
      </c>
      <c r="B596" s="37" t="s">
        <v>27</v>
      </c>
      <c r="C596" s="4" t="s">
        <v>80</v>
      </c>
      <c r="D596" s="10" t="s">
        <v>1584</v>
      </c>
      <c r="E596" s="1">
        <f>64750*1.07</f>
        <v>69282.5</v>
      </c>
      <c r="F596" s="101" t="s">
        <v>1577</v>
      </c>
      <c r="G596" s="160" t="s">
        <v>1585</v>
      </c>
      <c r="H596" s="70">
        <v>1</v>
      </c>
    </row>
    <row r="597" spans="1:8" s="150" customFormat="1" ht="27.75">
      <c r="A597" s="76"/>
      <c r="B597" s="71"/>
      <c r="C597" s="230"/>
      <c r="D597" s="169" t="s">
        <v>1586</v>
      </c>
      <c r="E597" s="206"/>
      <c r="F597" s="76"/>
      <c r="G597" s="170"/>
      <c r="H597" s="76"/>
    </row>
    <row r="598" spans="1:8" s="150" customFormat="1" ht="27.75">
      <c r="A598" s="80">
        <v>268</v>
      </c>
      <c r="B598" s="37" t="s">
        <v>27</v>
      </c>
      <c r="C598" s="4" t="s">
        <v>28</v>
      </c>
      <c r="D598" s="159" t="s">
        <v>1587</v>
      </c>
      <c r="E598" s="1">
        <f>8300*1.07</f>
        <v>8881</v>
      </c>
      <c r="F598" s="101" t="s">
        <v>1577</v>
      </c>
      <c r="G598" s="160" t="s">
        <v>1588</v>
      </c>
      <c r="H598" s="70">
        <v>1</v>
      </c>
    </row>
    <row r="599" spans="1:8" s="150" customFormat="1" ht="27.75">
      <c r="A599" s="76"/>
      <c r="B599" s="81"/>
      <c r="C599" s="111"/>
      <c r="D599" s="77" t="s">
        <v>1589</v>
      </c>
      <c r="E599" s="257"/>
      <c r="F599" s="80"/>
      <c r="G599" s="175"/>
      <c r="H599" s="76"/>
    </row>
    <row r="600" spans="1:8" s="150" customFormat="1" ht="27.75">
      <c r="A600" s="80">
        <v>269</v>
      </c>
      <c r="B600" s="24" t="s">
        <v>141</v>
      </c>
      <c r="C600" s="152" t="s">
        <v>142</v>
      </c>
      <c r="D600" s="10" t="s">
        <v>1590</v>
      </c>
      <c r="E600" s="11">
        <f>2512*1.07</f>
        <v>2687.84</v>
      </c>
      <c r="F600" s="101" t="s">
        <v>1577</v>
      </c>
      <c r="G600" s="181" t="s">
        <v>1591</v>
      </c>
      <c r="H600" s="70">
        <v>1</v>
      </c>
    </row>
    <row r="601" spans="1:8" s="150" customFormat="1" ht="27.75">
      <c r="A601" s="76"/>
      <c r="B601" s="71"/>
      <c r="C601" s="115"/>
      <c r="D601" s="169"/>
      <c r="E601" s="206"/>
      <c r="F601" s="76"/>
      <c r="G601" s="170"/>
      <c r="H601" s="76"/>
    </row>
    <row r="602" spans="1:8" s="150" customFormat="1" ht="27.75">
      <c r="A602" s="80">
        <v>270</v>
      </c>
      <c r="B602" s="22" t="s">
        <v>1367</v>
      </c>
      <c r="C602" s="4" t="s">
        <v>1368</v>
      </c>
      <c r="D602" s="159" t="s">
        <v>1592</v>
      </c>
      <c r="E602" s="1">
        <f>1462*1.07</f>
        <v>1564.3400000000001</v>
      </c>
      <c r="F602" s="101" t="s">
        <v>1577</v>
      </c>
      <c r="G602" s="160" t="s">
        <v>1593</v>
      </c>
      <c r="H602" s="70">
        <v>1</v>
      </c>
    </row>
    <row r="603" spans="1:8" s="150" customFormat="1" ht="27.75">
      <c r="A603" s="76"/>
      <c r="B603" s="220"/>
      <c r="C603" s="78"/>
      <c r="D603" s="222"/>
      <c r="E603" s="290"/>
      <c r="F603" s="220"/>
      <c r="G603" s="175"/>
      <c r="H603" s="80"/>
    </row>
    <row r="604" spans="1:8" ht="27.75">
      <c r="A604" s="80">
        <v>271</v>
      </c>
      <c r="B604" s="119" t="s">
        <v>124</v>
      </c>
      <c r="C604" s="66" t="s">
        <v>1893</v>
      </c>
      <c r="D604" s="262" t="s">
        <v>1894</v>
      </c>
      <c r="E604" s="242">
        <v>1206535</v>
      </c>
      <c r="F604" s="101" t="s">
        <v>1895</v>
      </c>
      <c r="G604" s="70" t="s">
        <v>1896</v>
      </c>
      <c r="H604" s="70">
        <v>1</v>
      </c>
    </row>
    <row r="605" spans="1:8" ht="27.75">
      <c r="A605" s="76"/>
      <c r="B605" s="73"/>
      <c r="C605" s="72"/>
      <c r="D605" s="73" t="s">
        <v>1897</v>
      </c>
      <c r="E605" s="239"/>
      <c r="F605" s="73"/>
      <c r="G605" s="72"/>
      <c r="H605" s="76"/>
    </row>
    <row r="606" spans="1:8" ht="27.75">
      <c r="A606" s="80">
        <v>272</v>
      </c>
      <c r="B606" s="24" t="s">
        <v>429</v>
      </c>
      <c r="C606" s="66" t="s">
        <v>1898</v>
      </c>
      <c r="D606" s="67" t="s">
        <v>1899</v>
      </c>
      <c r="E606" s="242">
        <v>4162300</v>
      </c>
      <c r="F606" s="101" t="s">
        <v>1895</v>
      </c>
      <c r="G606" s="70" t="s">
        <v>1900</v>
      </c>
      <c r="H606" s="70">
        <v>1</v>
      </c>
    </row>
    <row r="607" spans="1:8" ht="27.75">
      <c r="A607" s="76"/>
      <c r="B607" s="73"/>
      <c r="C607" s="72"/>
      <c r="D607" s="73"/>
      <c r="E607" s="239"/>
      <c r="F607" s="73"/>
      <c r="G607" s="72"/>
      <c r="H607" s="76"/>
    </row>
    <row r="608" spans="1:8" ht="27.75">
      <c r="A608" s="80">
        <v>273</v>
      </c>
      <c r="B608" s="139" t="s">
        <v>23</v>
      </c>
      <c r="C608" s="152" t="s">
        <v>24</v>
      </c>
      <c r="D608" s="10" t="s">
        <v>1594</v>
      </c>
      <c r="E608" s="291">
        <f>660*1.07</f>
        <v>706.2</v>
      </c>
      <c r="F608" s="101" t="s">
        <v>1595</v>
      </c>
      <c r="G608" s="13" t="s">
        <v>1596</v>
      </c>
      <c r="H608" s="70">
        <v>1</v>
      </c>
    </row>
    <row r="609" spans="1:8" ht="27.75">
      <c r="A609" s="76"/>
      <c r="B609" s="76"/>
      <c r="C609" s="73"/>
      <c r="D609" s="169" t="s">
        <v>138</v>
      </c>
      <c r="E609" s="206"/>
      <c r="F609" s="76"/>
      <c r="G609" s="170"/>
      <c r="H609" s="76"/>
    </row>
    <row r="610" spans="1:8" ht="27.75">
      <c r="A610" s="80">
        <v>274</v>
      </c>
      <c r="B610" s="105" t="s">
        <v>100</v>
      </c>
      <c r="C610" s="152" t="s">
        <v>663</v>
      </c>
      <c r="D610" s="10" t="s">
        <v>1597</v>
      </c>
      <c r="E610" s="11">
        <f>84000*1.07</f>
        <v>89880</v>
      </c>
      <c r="F610" s="101" t="s">
        <v>1595</v>
      </c>
      <c r="G610" s="13" t="s">
        <v>1598</v>
      </c>
      <c r="H610" s="70">
        <v>1</v>
      </c>
    </row>
    <row r="611" spans="1:8" ht="27.75">
      <c r="A611" s="76"/>
      <c r="B611" s="178"/>
      <c r="C611" s="73"/>
      <c r="D611" s="188"/>
      <c r="E611" s="292"/>
      <c r="F611" s="178"/>
      <c r="G611" s="170"/>
      <c r="H611" s="76"/>
    </row>
    <row r="612" spans="1:8" ht="27.75">
      <c r="A612" s="80">
        <v>275</v>
      </c>
      <c r="B612" s="289" t="s">
        <v>54</v>
      </c>
      <c r="C612" s="180" t="s">
        <v>243</v>
      </c>
      <c r="D612" s="172" t="s">
        <v>1599</v>
      </c>
      <c r="E612" s="11">
        <f>82600*1.07</f>
        <v>88382</v>
      </c>
      <c r="F612" s="101" t="s">
        <v>1595</v>
      </c>
      <c r="G612" s="26" t="s">
        <v>1600</v>
      </c>
      <c r="H612" s="70">
        <v>1</v>
      </c>
    </row>
    <row r="613" spans="1:8" ht="27.75">
      <c r="A613" s="76"/>
      <c r="B613" s="76"/>
      <c r="C613" s="115"/>
      <c r="D613" s="72"/>
      <c r="E613" s="206"/>
      <c r="F613" s="71"/>
      <c r="G613" s="71"/>
      <c r="H613" s="76"/>
    </row>
    <row r="614" spans="1:8" ht="27.75">
      <c r="A614" s="80">
        <v>276</v>
      </c>
      <c r="B614" s="44" t="s">
        <v>1601</v>
      </c>
      <c r="C614" s="150" t="s">
        <v>1602</v>
      </c>
      <c r="D614" s="77" t="s">
        <v>1603</v>
      </c>
      <c r="E614" s="197">
        <f>87000*1.07</f>
        <v>93090</v>
      </c>
      <c r="F614" s="101" t="s">
        <v>1595</v>
      </c>
      <c r="G614" s="160" t="s">
        <v>1604</v>
      </c>
      <c r="H614" s="70">
        <v>1</v>
      </c>
    </row>
    <row r="615" spans="1:8" ht="27.75">
      <c r="A615" s="76"/>
      <c r="B615" s="81"/>
      <c r="C615" s="111"/>
      <c r="D615" s="77" t="s">
        <v>1605</v>
      </c>
      <c r="E615" s="257"/>
      <c r="F615" s="80"/>
      <c r="G615" s="80"/>
      <c r="H615" s="80"/>
    </row>
    <row r="616" spans="1:8" ht="27.75">
      <c r="A616" s="80">
        <v>277</v>
      </c>
      <c r="B616" s="44" t="s">
        <v>40</v>
      </c>
      <c r="C616" s="113" t="s">
        <v>1606</v>
      </c>
      <c r="D616" s="66" t="s">
        <v>1607</v>
      </c>
      <c r="E616" s="140">
        <f>13848*1.07</f>
        <v>14817.36</v>
      </c>
      <c r="F616" s="101" t="s">
        <v>1595</v>
      </c>
      <c r="G616" s="108" t="s">
        <v>1608</v>
      </c>
      <c r="H616" s="70">
        <v>1</v>
      </c>
    </row>
    <row r="617" spans="1:8" ht="27.75">
      <c r="A617" s="76"/>
      <c r="B617" s="76"/>
      <c r="C617" s="115" t="s">
        <v>44</v>
      </c>
      <c r="D617" s="169" t="s">
        <v>543</v>
      </c>
      <c r="E617" s="206"/>
      <c r="F617" s="76"/>
      <c r="G617" s="76"/>
      <c r="H617" s="76"/>
    </row>
    <row r="618" spans="1:8" ht="27.75">
      <c r="A618" s="80">
        <v>278</v>
      </c>
      <c r="B618" s="289" t="s">
        <v>54</v>
      </c>
      <c r="C618" s="10" t="s">
        <v>243</v>
      </c>
      <c r="D618" s="10" t="s">
        <v>1609</v>
      </c>
      <c r="E618" s="11">
        <f>4736*1.07</f>
        <v>5067.5200000000004</v>
      </c>
      <c r="F618" s="101" t="s">
        <v>1595</v>
      </c>
      <c r="G618" s="13" t="s">
        <v>1610</v>
      </c>
      <c r="H618" s="70">
        <v>1</v>
      </c>
    </row>
    <row r="619" spans="1:8" ht="27.75">
      <c r="A619" s="76"/>
      <c r="B619" s="293"/>
      <c r="C619" s="72"/>
      <c r="D619" s="17"/>
      <c r="E619" s="206"/>
      <c r="F619" s="76"/>
      <c r="G619" s="170"/>
      <c r="H619" s="80"/>
    </row>
    <row r="620" spans="1:8" ht="27.75">
      <c r="A620" s="80">
        <v>279</v>
      </c>
      <c r="B620" s="22" t="s">
        <v>58</v>
      </c>
      <c r="C620" s="4" t="s">
        <v>270</v>
      </c>
      <c r="D620" s="10" t="s">
        <v>1611</v>
      </c>
      <c r="E620" s="151">
        <f>10945*1.07</f>
        <v>11711.150000000001</v>
      </c>
      <c r="F620" s="116" t="s">
        <v>1595</v>
      </c>
      <c r="G620" s="171" t="s">
        <v>1612</v>
      </c>
      <c r="H620" s="70">
        <v>1</v>
      </c>
    </row>
    <row r="621" spans="1:8" ht="27.75">
      <c r="A621" s="76"/>
      <c r="B621" s="76"/>
      <c r="C621" s="73"/>
      <c r="D621" s="169" t="s">
        <v>226</v>
      </c>
      <c r="E621" s="74"/>
      <c r="F621" s="76"/>
      <c r="G621" s="75"/>
      <c r="H621" s="76"/>
    </row>
    <row r="622" spans="1:8" ht="27.75">
      <c r="A622" s="80">
        <v>280</v>
      </c>
      <c r="B622" s="24" t="s">
        <v>141</v>
      </c>
      <c r="C622" s="4" t="s">
        <v>142</v>
      </c>
      <c r="D622" s="159" t="s">
        <v>1613</v>
      </c>
      <c r="E622" s="155">
        <f>23040*1.07</f>
        <v>24652.800000000003</v>
      </c>
      <c r="F622" s="101" t="s">
        <v>1595</v>
      </c>
      <c r="G622" s="171" t="s">
        <v>1614</v>
      </c>
      <c r="H622" s="80">
        <v>1</v>
      </c>
    </row>
    <row r="623" spans="1:8" ht="27.75">
      <c r="A623" s="76"/>
      <c r="B623" s="76"/>
      <c r="C623" s="73"/>
      <c r="D623" s="169"/>
      <c r="E623" s="74"/>
      <c r="F623" s="76"/>
      <c r="G623" s="75"/>
      <c r="H623" s="76"/>
    </row>
    <row r="624" spans="1:8" ht="27.75">
      <c r="A624" s="80">
        <v>281</v>
      </c>
      <c r="B624" s="131" t="s">
        <v>1486</v>
      </c>
      <c r="C624" s="4" t="s">
        <v>189</v>
      </c>
      <c r="D624" s="159" t="s">
        <v>1615</v>
      </c>
      <c r="E624" s="155">
        <f>78000*1.07</f>
        <v>83460</v>
      </c>
      <c r="F624" s="101" t="s">
        <v>1595</v>
      </c>
      <c r="G624" s="171" t="s">
        <v>1616</v>
      </c>
      <c r="H624" s="70">
        <v>1</v>
      </c>
    </row>
    <row r="625" spans="1:8" ht="27.75">
      <c r="A625" s="76"/>
      <c r="B625" s="76"/>
      <c r="C625" s="73"/>
      <c r="D625" s="72"/>
      <c r="E625" s="74"/>
      <c r="F625" s="76"/>
      <c r="G625" s="75"/>
      <c r="H625" s="76"/>
    </row>
    <row r="626" spans="1:8" ht="27.75">
      <c r="A626" s="80">
        <v>282</v>
      </c>
      <c r="B626" s="22" t="s">
        <v>435</v>
      </c>
      <c r="C626" s="152" t="s">
        <v>1617</v>
      </c>
      <c r="D626" s="10" t="s">
        <v>1618</v>
      </c>
      <c r="E626" s="151">
        <f>49600*1.07</f>
        <v>53072</v>
      </c>
      <c r="F626" s="101" t="s">
        <v>1595</v>
      </c>
      <c r="G626" s="26" t="s">
        <v>1619</v>
      </c>
      <c r="H626" s="70">
        <v>1</v>
      </c>
    </row>
    <row r="627" spans="1:8" ht="27.75">
      <c r="A627" s="76"/>
      <c r="B627" s="178"/>
      <c r="C627" s="73"/>
      <c r="D627" s="169" t="s">
        <v>636</v>
      </c>
      <c r="E627" s="74"/>
      <c r="F627" s="76"/>
      <c r="G627" s="75"/>
      <c r="H627" s="76"/>
    </row>
    <row r="628" spans="1:8" s="43" customFormat="1" ht="27.75">
      <c r="A628" s="84"/>
      <c r="B628" s="91"/>
      <c r="C628" s="78"/>
      <c r="D628" s="82"/>
      <c r="E628" s="94"/>
      <c r="F628" s="84"/>
      <c r="G628" s="84"/>
      <c r="H628" s="84"/>
    </row>
    <row r="629" spans="1:8" ht="27.75">
      <c r="A629" s="336" t="s">
        <v>561</v>
      </c>
      <c r="B629" s="338" t="s">
        <v>0</v>
      </c>
      <c r="C629" s="340" t="s">
        <v>1</v>
      </c>
      <c r="D629" s="341" t="s">
        <v>2</v>
      </c>
      <c r="E629" s="342" t="s">
        <v>3</v>
      </c>
      <c r="F629" s="344" t="s">
        <v>4</v>
      </c>
      <c r="G629" s="341"/>
      <c r="H629" s="336" t="s">
        <v>5</v>
      </c>
    </row>
    <row r="630" spans="1:8" ht="58.5" customHeight="1">
      <c r="A630" s="337"/>
      <c r="B630" s="339"/>
      <c r="C630" s="340"/>
      <c r="D630" s="341"/>
      <c r="E630" s="343"/>
      <c r="F630" s="284" t="s">
        <v>6</v>
      </c>
      <c r="G630" s="283" t="s">
        <v>7</v>
      </c>
      <c r="H630" s="337"/>
    </row>
    <row r="631" spans="1:8" ht="27.75">
      <c r="A631" s="70">
        <v>283</v>
      </c>
      <c r="B631" s="131" t="s">
        <v>45</v>
      </c>
      <c r="C631" s="152" t="s">
        <v>968</v>
      </c>
      <c r="D631" s="10" t="s">
        <v>1620</v>
      </c>
      <c r="E631" s="151">
        <f>89650*1.07</f>
        <v>95925.5</v>
      </c>
      <c r="F631" s="101" t="s">
        <v>1621</v>
      </c>
      <c r="G631" s="13" t="s">
        <v>1622</v>
      </c>
      <c r="H631" s="70">
        <v>1</v>
      </c>
    </row>
    <row r="632" spans="1:8" ht="27.75">
      <c r="A632" s="76"/>
      <c r="B632" s="76"/>
      <c r="C632" s="73"/>
      <c r="D632" s="169" t="s">
        <v>19</v>
      </c>
      <c r="E632" s="74"/>
      <c r="F632" s="76"/>
      <c r="G632" s="170"/>
      <c r="H632" s="80"/>
    </row>
    <row r="633" spans="1:8" ht="27.75">
      <c r="A633" s="70">
        <v>284</v>
      </c>
      <c r="B633" s="162" t="s">
        <v>1269</v>
      </c>
      <c r="C633" s="10" t="s">
        <v>1270</v>
      </c>
      <c r="D633" s="159" t="s">
        <v>1623</v>
      </c>
      <c r="E633" s="155">
        <f>67000*1.07</f>
        <v>71690</v>
      </c>
      <c r="F633" s="116" t="s">
        <v>1621</v>
      </c>
      <c r="G633" s="171" t="s">
        <v>1624</v>
      </c>
      <c r="H633" s="70">
        <v>1</v>
      </c>
    </row>
    <row r="634" spans="1:8" ht="27.75">
      <c r="A634" s="76"/>
      <c r="B634" s="71"/>
      <c r="C634" s="72"/>
      <c r="D634" s="169" t="s">
        <v>19</v>
      </c>
      <c r="E634" s="74"/>
      <c r="F634" s="76"/>
      <c r="G634" s="71"/>
      <c r="H634" s="76"/>
    </row>
    <row r="635" spans="1:8" ht="27.75">
      <c r="A635" s="70">
        <v>285</v>
      </c>
      <c r="B635" s="22" t="s">
        <v>1032</v>
      </c>
      <c r="C635" s="180" t="s">
        <v>505</v>
      </c>
      <c r="D635" s="10" t="s">
        <v>1625</v>
      </c>
      <c r="E635" s="11">
        <f>82417*1.07</f>
        <v>88186.19</v>
      </c>
      <c r="F635" s="101" t="s">
        <v>1621</v>
      </c>
      <c r="G635" s="13" t="s">
        <v>1626</v>
      </c>
      <c r="H635" s="181">
        <v>1</v>
      </c>
    </row>
    <row r="636" spans="1:8" ht="27.75">
      <c r="A636" s="76"/>
      <c r="B636" s="76"/>
      <c r="C636" s="115"/>
      <c r="D636" s="169" t="s">
        <v>138</v>
      </c>
      <c r="E636" s="104"/>
      <c r="F636" s="76"/>
      <c r="G636" s="76"/>
      <c r="H636" s="170"/>
    </row>
    <row r="637" spans="1:8" ht="27.75">
      <c r="A637" s="70">
        <v>286</v>
      </c>
      <c r="B637" s="22" t="s">
        <v>115</v>
      </c>
      <c r="C637" s="180" t="s">
        <v>116</v>
      </c>
      <c r="D637" s="10" t="s">
        <v>1627</v>
      </c>
      <c r="E637" s="11">
        <f>56000*1.07</f>
        <v>59920</v>
      </c>
      <c r="F637" s="101" t="s">
        <v>1621</v>
      </c>
      <c r="G637" s="13" t="s">
        <v>1628</v>
      </c>
      <c r="H637" s="181">
        <v>1</v>
      </c>
    </row>
    <row r="638" spans="1:8" ht="27.75">
      <c r="A638" s="76"/>
      <c r="B638" s="76"/>
      <c r="C638" s="115"/>
      <c r="D638" s="17" t="s">
        <v>1629</v>
      </c>
      <c r="E638" s="104"/>
      <c r="F638" s="76"/>
      <c r="G638" s="170"/>
      <c r="H638" s="170"/>
    </row>
    <row r="639" spans="1:8" ht="27.75">
      <c r="A639" s="70">
        <v>287</v>
      </c>
      <c r="B639" s="119" t="s">
        <v>124</v>
      </c>
      <c r="C639" s="182" t="s">
        <v>290</v>
      </c>
      <c r="D639" s="159" t="s">
        <v>1630</v>
      </c>
      <c r="E639" s="183">
        <f>93400*1.07</f>
        <v>99938</v>
      </c>
      <c r="F639" s="116" t="s">
        <v>1621</v>
      </c>
      <c r="G639" s="184" t="s">
        <v>1631</v>
      </c>
      <c r="H639" s="181">
        <v>1</v>
      </c>
    </row>
    <row r="640" spans="1:8" ht="27.75">
      <c r="A640" s="76"/>
      <c r="B640" s="76"/>
      <c r="C640" s="111"/>
      <c r="D640" s="77"/>
      <c r="E640" s="94"/>
      <c r="F640" s="76"/>
      <c r="G640" s="170"/>
      <c r="H640" s="170"/>
    </row>
    <row r="641" spans="1:8" ht="27.75">
      <c r="A641" s="70">
        <v>288</v>
      </c>
      <c r="B641" s="24" t="s">
        <v>200</v>
      </c>
      <c r="C641" s="180" t="s">
        <v>201</v>
      </c>
      <c r="D641" s="10" t="s">
        <v>1632</v>
      </c>
      <c r="E641" s="205">
        <f>11500*1.07</f>
        <v>12305</v>
      </c>
      <c r="F641" s="101" t="s">
        <v>1621</v>
      </c>
      <c r="G641" s="184" t="s">
        <v>1633</v>
      </c>
      <c r="H641" s="175">
        <v>1</v>
      </c>
    </row>
    <row r="642" spans="1:8" ht="27.75">
      <c r="A642" s="76"/>
      <c r="B642" s="76"/>
      <c r="C642" s="115"/>
      <c r="D642" s="169" t="s">
        <v>138</v>
      </c>
      <c r="E642" s="206"/>
      <c r="F642" s="76"/>
      <c r="G642" s="170"/>
      <c r="H642" s="170"/>
    </row>
    <row r="643" spans="1:8" ht="27.75">
      <c r="A643" s="70">
        <v>289</v>
      </c>
      <c r="B643" s="131" t="s">
        <v>743</v>
      </c>
      <c r="C643" s="182" t="s">
        <v>744</v>
      </c>
      <c r="D643" s="159" t="s">
        <v>1634</v>
      </c>
      <c r="E643" s="183">
        <f>13800*1.07</f>
        <v>14766</v>
      </c>
      <c r="F643" s="101" t="s">
        <v>1621</v>
      </c>
      <c r="G643" s="184" t="s">
        <v>1635</v>
      </c>
      <c r="H643" s="181">
        <v>1</v>
      </c>
    </row>
    <row r="644" spans="1:8" ht="27.75">
      <c r="A644" s="76"/>
      <c r="B644" s="237"/>
      <c r="C644" s="182"/>
      <c r="D644" s="77"/>
      <c r="E644" s="94"/>
      <c r="F644" s="76"/>
      <c r="G644" s="170"/>
      <c r="H644" s="170"/>
    </row>
    <row r="645" spans="1:8" ht="27.75">
      <c r="A645" s="70">
        <v>290</v>
      </c>
      <c r="B645" s="131" t="s">
        <v>1269</v>
      </c>
      <c r="C645" s="10" t="s">
        <v>1270</v>
      </c>
      <c r="D645" s="10" t="s">
        <v>1636</v>
      </c>
      <c r="E645" s="205">
        <f>28600*1.07</f>
        <v>30602</v>
      </c>
      <c r="F645" s="101" t="s">
        <v>1621</v>
      </c>
      <c r="G645" s="184" t="s">
        <v>1637</v>
      </c>
      <c r="H645" s="181">
        <v>1</v>
      </c>
    </row>
    <row r="646" spans="1:8" ht="27.75">
      <c r="A646" s="76"/>
      <c r="B646" s="76"/>
      <c r="C646" s="72"/>
      <c r="D646" s="72"/>
      <c r="E646" s="206"/>
      <c r="F646" s="76"/>
      <c r="G646" s="170"/>
      <c r="H646" s="170"/>
    </row>
    <row r="647" spans="1:8" ht="27.75">
      <c r="A647" s="70">
        <v>291</v>
      </c>
      <c r="B647" s="131" t="s">
        <v>743</v>
      </c>
      <c r="C647" s="159" t="s">
        <v>806</v>
      </c>
      <c r="D647" s="159" t="s">
        <v>1638</v>
      </c>
      <c r="E647" s="183">
        <f>79000*1.07</f>
        <v>84530</v>
      </c>
      <c r="F647" s="101" t="s">
        <v>1621</v>
      </c>
      <c r="G647" s="184" t="s">
        <v>1639</v>
      </c>
      <c r="H647" s="181">
        <v>1</v>
      </c>
    </row>
    <row r="648" spans="1:8" ht="27.75">
      <c r="A648" s="76"/>
      <c r="B648" s="76"/>
      <c r="C648" s="159"/>
      <c r="D648" s="159" t="s">
        <v>1640</v>
      </c>
      <c r="E648" s="94"/>
      <c r="F648" s="80"/>
      <c r="G648" s="175"/>
      <c r="H648" s="170"/>
    </row>
    <row r="649" spans="1:8" ht="27.75">
      <c r="A649" s="70">
        <v>292</v>
      </c>
      <c r="B649" s="131" t="s">
        <v>1641</v>
      </c>
      <c r="C649" s="10" t="s">
        <v>333</v>
      </c>
      <c r="D649" s="10" t="s">
        <v>1642</v>
      </c>
      <c r="E649" s="11">
        <f>7680*1.07</f>
        <v>8217.6</v>
      </c>
      <c r="F649" s="101" t="s">
        <v>1621</v>
      </c>
      <c r="G649" s="13" t="s">
        <v>1643</v>
      </c>
      <c r="H649" s="181">
        <v>1</v>
      </c>
    </row>
    <row r="650" spans="1:8" ht="27.75">
      <c r="A650" s="76"/>
      <c r="B650" s="80"/>
      <c r="C650" s="72"/>
      <c r="D650" s="169"/>
      <c r="E650" s="206"/>
      <c r="F650" s="76"/>
      <c r="G650" s="170"/>
      <c r="H650" s="175"/>
    </row>
    <row r="651" spans="1:8" ht="27.75">
      <c r="A651" s="70">
        <v>293</v>
      </c>
      <c r="B651" s="133" t="s">
        <v>508</v>
      </c>
      <c r="C651" s="182" t="s">
        <v>509</v>
      </c>
      <c r="D651" s="159" t="s">
        <v>1644</v>
      </c>
      <c r="E651" s="183">
        <f>3760*1.07</f>
        <v>4023.2000000000003</v>
      </c>
      <c r="F651" s="116" t="s">
        <v>1621</v>
      </c>
      <c r="G651" s="184" t="s">
        <v>1645</v>
      </c>
      <c r="H651" s="181">
        <v>1</v>
      </c>
    </row>
    <row r="652" spans="1:8" ht="27.75">
      <c r="A652" s="76"/>
      <c r="B652" s="80"/>
      <c r="C652" s="111"/>
      <c r="D652" s="222" t="s">
        <v>1646</v>
      </c>
      <c r="E652" s="94"/>
      <c r="F652" s="80"/>
      <c r="G652" s="80"/>
      <c r="H652" s="175"/>
    </row>
    <row r="653" spans="1:8" ht="27.75">
      <c r="A653" s="70">
        <v>294</v>
      </c>
      <c r="B653" s="119" t="s">
        <v>124</v>
      </c>
      <c r="C653" s="66" t="s">
        <v>1893</v>
      </c>
      <c r="D653" s="67" t="s">
        <v>1901</v>
      </c>
      <c r="E653" s="242">
        <v>707413.38</v>
      </c>
      <c r="F653" s="101" t="s">
        <v>1621</v>
      </c>
      <c r="G653" s="70" t="s">
        <v>1902</v>
      </c>
      <c r="H653" s="70">
        <v>1</v>
      </c>
    </row>
    <row r="654" spans="1:8" ht="27.75">
      <c r="A654" s="76"/>
      <c r="B654" s="73"/>
      <c r="C654" s="72"/>
      <c r="D654" s="73"/>
      <c r="E654" s="239"/>
      <c r="F654" s="73"/>
      <c r="G654" s="72"/>
      <c r="H654" s="76"/>
    </row>
    <row r="655" spans="1:8" ht="27.75">
      <c r="A655" s="70">
        <v>295</v>
      </c>
      <c r="B655" s="264" t="s">
        <v>1903</v>
      </c>
      <c r="C655" s="66" t="s">
        <v>1904</v>
      </c>
      <c r="D655" s="67" t="s">
        <v>1905</v>
      </c>
      <c r="E655" s="242">
        <v>129898</v>
      </c>
      <c r="F655" s="101" t="s">
        <v>1621</v>
      </c>
      <c r="G655" s="70" t="s">
        <v>1906</v>
      </c>
      <c r="H655" s="70">
        <v>1</v>
      </c>
    </row>
    <row r="656" spans="1:8" ht="27.75">
      <c r="A656" s="76"/>
      <c r="B656" s="78"/>
      <c r="C656" s="77"/>
      <c r="D656" s="78" t="s">
        <v>1907</v>
      </c>
      <c r="E656" s="240"/>
      <c r="F656" s="78"/>
      <c r="G656" s="80"/>
      <c r="H656" s="76"/>
    </row>
    <row r="657" spans="1:8" ht="27.75">
      <c r="A657" s="70">
        <v>296</v>
      </c>
      <c r="B657" s="28" t="s">
        <v>9</v>
      </c>
      <c r="C657" s="180" t="s">
        <v>50</v>
      </c>
      <c r="D657" s="10" t="s">
        <v>1647</v>
      </c>
      <c r="E657" s="11">
        <f>13200*1.07</f>
        <v>14124</v>
      </c>
      <c r="F657" s="101" t="s">
        <v>1648</v>
      </c>
      <c r="G657" s="13" t="s">
        <v>1912</v>
      </c>
      <c r="H657" s="181">
        <v>1</v>
      </c>
    </row>
    <row r="658" spans="1:8" ht="27.75">
      <c r="A658" s="76"/>
      <c r="B658" s="76"/>
      <c r="C658" s="115"/>
      <c r="D658" s="169"/>
      <c r="E658" s="104"/>
      <c r="F658" s="76"/>
      <c r="G658" s="170"/>
      <c r="H658" s="170"/>
    </row>
    <row r="659" spans="1:8" ht="27.75">
      <c r="A659" s="70">
        <v>297</v>
      </c>
      <c r="B659" s="157" t="s">
        <v>1439</v>
      </c>
      <c r="C659" s="182" t="s">
        <v>163</v>
      </c>
      <c r="D659" s="186" t="s">
        <v>1649</v>
      </c>
      <c r="E659" s="183">
        <f>6000*1.07</f>
        <v>6420</v>
      </c>
      <c r="F659" s="101" t="s">
        <v>1648</v>
      </c>
      <c r="G659" s="184" t="s">
        <v>1650</v>
      </c>
      <c r="H659" s="181">
        <v>1</v>
      </c>
    </row>
    <row r="660" spans="1:8" ht="27.75">
      <c r="A660" s="76"/>
      <c r="B660" s="76"/>
      <c r="C660" s="201"/>
      <c r="D660" s="121"/>
      <c r="E660" s="104"/>
      <c r="F660" s="76"/>
      <c r="G660" s="170"/>
      <c r="H660" s="170"/>
    </row>
    <row r="661" spans="1:8" ht="27.75">
      <c r="A661" s="70">
        <v>298</v>
      </c>
      <c r="B661" s="22" t="s">
        <v>1213</v>
      </c>
      <c r="C661" s="180" t="s">
        <v>1651</v>
      </c>
      <c r="D661" s="10" t="s">
        <v>1652</v>
      </c>
      <c r="E661" s="11">
        <f>83098*1.07</f>
        <v>88914.86</v>
      </c>
      <c r="F661" s="101" t="s">
        <v>1648</v>
      </c>
      <c r="G661" s="13" t="s">
        <v>1653</v>
      </c>
      <c r="H661" s="181">
        <v>1</v>
      </c>
    </row>
    <row r="662" spans="1:8" ht="27.75">
      <c r="A662" s="76"/>
      <c r="B662" s="195"/>
      <c r="C662" s="201"/>
      <c r="D662" s="169"/>
      <c r="E662" s="206"/>
      <c r="F662" s="76"/>
      <c r="G662" s="170"/>
      <c r="H662" s="170"/>
    </row>
    <row r="663" spans="1:8" s="43" customFormat="1" ht="27.75">
      <c r="A663" s="84"/>
      <c r="B663" s="299"/>
      <c r="C663" s="128"/>
      <c r="D663" s="82"/>
      <c r="E663" s="94"/>
      <c r="F663" s="84"/>
      <c r="G663" s="84"/>
      <c r="H663" s="84"/>
    </row>
    <row r="664" spans="1:8" ht="27.75">
      <c r="A664" s="336" t="s">
        <v>561</v>
      </c>
      <c r="B664" s="338" t="s">
        <v>0</v>
      </c>
      <c r="C664" s="340" t="s">
        <v>1</v>
      </c>
      <c r="D664" s="341" t="s">
        <v>2</v>
      </c>
      <c r="E664" s="342" t="s">
        <v>3</v>
      </c>
      <c r="F664" s="341" t="s">
        <v>4</v>
      </c>
      <c r="G664" s="341"/>
      <c r="H664" s="336" t="s">
        <v>5</v>
      </c>
    </row>
    <row r="665" spans="1:8" ht="55.5" customHeight="1">
      <c r="A665" s="337"/>
      <c r="B665" s="339"/>
      <c r="C665" s="340"/>
      <c r="D665" s="341"/>
      <c r="E665" s="343"/>
      <c r="F665" s="284" t="s">
        <v>6</v>
      </c>
      <c r="G665" s="283" t="s">
        <v>7</v>
      </c>
      <c r="H665" s="337"/>
    </row>
    <row r="666" spans="1:8" ht="27.75">
      <c r="A666" s="70">
        <v>299</v>
      </c>
      <c r="B666" s="131" t="s">
        <v>1297</v>
      </c>
      <c r="C666" s="182" t="s">
        <v>1298</v>
      </c>
      <c r="D666" s="186" t="s">
        <v>1654</v>
      </c>
      <c r="E666" s="183">
        <f>12000*1.07</f>
        <v>12840</v>
      </c>
      <c r="F666" s="101" t="s">
        <v>1648</v>
      </c>
      <c r="G666" s="184" t="s">
        <v>1655</v>
      </c>
      <c r="H666" s="181">
        <v>1</v>
      </c>
    </row>
    <row r="667" spans="1:8" ht="27.75">
      <c r="A667" s="76"/>
      <c r="B667" s="76"/>
      <c r="C667" s="201"/>
      <c r="D667" s="169"/>
      <c r="E667" s="206"/>
      <c r="F667" s="76"/>
      <c r="G667" s="170"/>
      <c r="H667" s="170"/>
    </row>
    <row r="668" spans="1:8" ht="27.75">
      <c r="A668" s="70">
        <v>300</v>
      </c>
      <c r="B668" s="131" t="s">
        <v>941</v>
      </c>
      <c r="C668" s="182" t="s">
        <v>860</v>
      </c>
      <c r="D668" s="159" t="s">
        <v>1656</v>
      </c>
      <c r="E668" s="183">
        <f>36000*1.07</f>
        <v>38520</v>
      </c>
      <c r="F668" s="101" t="s">
        <v>1648</v>
      </c>
      <c r="G668" s="184" t="s">
        <v>1657</v>
      </c>
      <c r="H668" s="181">
        <v>1</v>
      </c>
    </row>
    <row r="669" spans="1:8" ht="27.75">
      <c r="A669" s="76"/>
      <c r="B669" s="76"/>
      <c r="C669" s="201"/>
      <c r="D669" s="169"/>
      <c r="E669" s="206"/>
      <c r="F669" s="76"/>
      <c r="G669" s="170"/>
      <c r="H669" s="170"/>
    </row>
    <row r="670" spans="1:8" ht="27.75">
      <c r="A670" s="70">
        <v>301</v>
      </c>
      <c r="B670" s="22" t="s">
        <v>435</v>
      </c>
      <c r="C670" s="180" t="s">
        <v>436</v>
      </c>
      <c r="D670" s="10" t="s">
        <v>1658</v>
      </c>
      <c r="E670" s="11">
        <f>26000*1.07</f>
        <v>27820</v>
      </c>
      <c r="F670" s="101" t="s">
        <v>1648</v>
      </c>
      <c r="G670" s="13" t="s">
        <v>1659</v>
      </c>
      <c r="H670" s="181">
        <v>1</v>
      </c>
    </row>
    <row r="671" spans="1:8" ht="27.75">
      <c r="A671" s="76"/>
      <c r="B671" s="76"/>
      <c r="C671" s="201"/>
      <c r="D671" s="169" t="s">
        <v>636</v>
      </c>
      <c r="E671" s="206"/>
      <c r="F671" s="76"/>
      <c r="G671" s="170"/>
      <c r="H671" s="170"/>
    </row>
    <row r="672" spans="1:8" ht="27.75">
      <c r="A672" s="70">
        <v>302</v>
      </c>
      <c r="B672" s="22" t="s">
        <v>435</v>
      </c>
      <c r="C672" s="180" t="s">
        <v>436</v>
      </c>
      <c r="D672" s="10" t="s">
        <v>1660</v>
      </c>
      <c r="E672" s="11">
        <f>22000*1.07</f>
        <v>23540</v>
      </c>
      <c r="F672" s="101" t="s">
        <v>1648</v>
      </c>
      <c r="G672" s="13" t="s">
        <v>1661</v>
      </c>
      <c r="H672" s="181">
        <v>1</v>
      </c>
    </row>
    <row r="673" spans="1:8" ht="27.75">
      <c r="A673" s="76"/>
      <c r="B673" s="76"/>
      <c r="C673" s="201"/>
      <c r="D673" s="121"/>
      <c r="E673" s="104"/>
      <c r="F673" s="76"/>
      <c r="G673" s="170"/>
      <c r="H673" s="170"/>
    </row>
    <row r="674" spans="1:8" ht="27.75">
      <c r="A674" s="70">
        <v>303</v>
      </c>
      <c r="B674" s="171" t="s">
        <v>1662</v>
      </c>
      <c r="C674" s="10" t="s">
        <v>1663</v>
      </c>
      <c r="D674" s="4" t="s">
        <v>1664</v>
      </c>
      <c r="E674" s="151">
        <f>57000*1.07</f>
        <v>60990</v>
      </c>
      <c r="F674" s="101" t="s">
        <v>1648</v>
      </c>
      <c r="G674" s="294" t="s">
        <v>1665</v>
      </c>
      <c r="H674" s="70">
        <v>1</v>
      </c>
    </row>
    <row r="675" spans="1:8" ht="27.75">
      <c r="A675" s="76"/>
      <c r="B675" s="71"/>
      <c r="C675" s="17"/>
      <c r="D675" s="89"/>
      <c r="E675" s="74"/>
      <c r="F675" s="76"/>
      <c r="G675" s="232"/>
      <c r="H675" s="76"/>
    </row>
    <row r="676" spans="1:8" ht="27.75">
      <c r="A676" s="70">
        <v>304</v>
      </c>
      <c r="B676" s="95" t="s">
        <v>45</v>
      </c>
      <c r="C676" s="159" t="s">
        <v>1666</v>
      </c>
      <c r="D676" s="4" t="s">
        <v>1667</v>
      </c>
      <c r="E676" s="155">
        <f>18500*1.07</f>
        <v>19795</v>
      </c>
      <c r="F676" s="101" t="s">
        <v>1648</v>
      </c>
      <c r="G676" s="294" t="s">
        <v>1668</v>
      </c>
      <c r="H676" s="70">
        <v>1</v>
      </c>
    </row>
    <row r="677" spans="1:8" ht="27.75">
      <c r="A677" s="76"/>
      <c r="B677" s="71"/>
      <c r="C677" s="121"/>
      <c r="D677" s="223"/>
      <c r="E677" s="74"/>
      <c r="F677" s="76"/>
      <c r="G677" s="232"/>
      <c r="H677" s="76"/>
    </row>
    <row r="678" spans="1:8" ht="27.75">
      <c r="A678" s="70">
        <v>305</v>
      </c>
      <c r="B678" s="36" t="s">
        <v>14</v>
      </c>
      <c r="C678" s="159" t="s">
        <v>15</v>
      </c>
      <c r="D678" s="4" t="s">
        <v>1669</v>
      </c>
      <c r="E678" s="155">
        <f>1800*1.07</f>
        <v>1926</v>
      </c>
      <c r="F678" s="101" t="s">
        <v>1670</v>
      </c>
      <c r="G678" s="171" t="s">
        <v>1671</v>
      </c>
      <c r="H678" s="70">
        <v>1</v>
      </c>
    </row>
    <row r="679" spans="1:8" ht="27.75">
      <c r="A679" s="76"/>
      <c r="B679" s="71"/>
      <c r="C679" s="121"/>
      <c r="D679" s="89"/>
      <c r="E679" s="74"/>
      <c r="F679" s="76"/>
      <c r="G679" s="170"/>
      <c r="H679" s="76"/>
    </row>
    <row r="680" spans="1:8" ht="27.75">
      <c r="A680" s="70">
        <v>306</v>
      </c>
      <c r="B680" s="36" t="s">
        <v>14</v>
      </c>
      <c r="C680" s="159" t="s">
        <v>1672</v>
      </c>
      <c r="D680" s="4" t="s">
        <v>1673</v>
      </c>
      <c r="E680" s="249">
        <f>900*1.07</f>
        <v>963</v>
      </c>
      <c r="F680" s="101" t="s">
        <v>1670</v>
      </c>
      <c r="G680" s="171" t="s">
        <v>1674</v>
      </c>
      <c r="H680" s="70">
        <v>1</v>
      </c>
    </row>
    <row r="681" spans="1:8" ht="27.75">
      <c r="A681" s="76"/>
      <c r="B681" s="71"/>
      <c r="C681" s="121"/>
      <c r="D681" s="89"/>
      <c r="E681" s="74"/>
      <c r="F681" s="76"/>
      <c r="G681" s="170"/>
      <c r="H681" s="76"/>
    </row>
    <row r="682" spans="1:8" ht="27.75">
      <c r="A682" s="70">
        <v>307</v>
      </c>
      <c r="B682" s="133" t="s">
        <v>508</v>
      </c>
      <c r="C682" s="159" t="s">
        <v>509</v>
      </c>
      <c r="D682" s="4" t="s">
        <v>1675</v>
      </c>
      <c r="E682" s="155">
        <f>87750*1.07</f>
        <v>93892.5</v>
      </c>
      <c r="F682" s="101" t="s">
        <v>1670</v>
      </c>
      <c r="G682" s="171" t="s">
        <v>1676</v>
      </c>
      <c r="H682" s="70">
        <v>1</v>
      </c>
    </row>
    <row r="683" spans="1:8" ht="27.75">
      <c r="A683" s="76"/>
      <c r="B683" s="171"/>
      <c r="C683" s="121"/>
      <c r="D683" s="73"/>
      <c r="E683" s="74"/>
      <c r="F683" s="76"/>
      <c r="G683" s="170"/>
      <c r="H683" s="76"/>
    </row>
    <row r="684" spans="1:8" ht="27.75">
      <c r="A684" s="70">
        <v>308</v>
      </c>
      <c r="B684" s="22" t="s">
        <v>1677</v>
      </c>
      <c r="C684" s="191" t="s">
        <v>1678</v>
      </c>
      <c r="D684" s="4" t="s">
        <v>1679</v>
      </c>
      <c r="E684" s="155">
        <f>19200*1.07</f>
        <v>20544</v>
      </c>
      <c r="F684" s="101" t="s">
        <v>1670</v>
      </c>
      <c r="G684" s="171" t="s">
        <v>1680</v>
      </c>
      <c r="H684" s="70">
        <v>1</v>
      </c>
    </row>
    <row r="685" spans="1:8" ht="27.75">
      <c r="A685" s="76"/>
      <c r="B685" s="76"/>
      <c r="C685" s="193"/>
      <c r="D685" s="82" t="s">
        <v>138</v>
      </c>
      <c r="E685" s="74"/>
      <c r="F685" s="76"/>
      <c r="G685" s="170"/>
      <c r="H685" s="76"/>
    </row>
    <row r="686" spans="1:8" ht="27.75">
      <c r="A686" s="70">
        <v>309</v>
      </c>
      <c r="B686" s="57" t="s">
        <v>9</v>
      </c>
      <c r="C686" s="159" t="s">
        <v>50</v>
      </c>
      <c r="D686" s="10" t="s">
        <v>1681</v>
      </c>
      <c r="E686" s="249">
        <f>960*1.07</f>
        <v>1027.2</v>
      </c>
      <c r="F686" s="101" t="s">
        <v>1670</v>
      </c>
      <c r="G686" s="171" t="s">
        <v>1682</v>
      </c>
      <c r="H686" s="70">
        <v>1</v>
      </c>
    </row>
    <row r="687" spans="1:8" ht="27.75">
      <c r="A687" s="76"/>
      <c r="B687" s="71"/>
      <c r="C687" s="121"/>
      <c r="D687" s="121"/>
      <c r="E687" s="74"/>
      <c r="F687" s="116"/>
      <c r="G687" s="170"/>
      <c r="H687" s="76"/>
    </row>
    <row r="688" spans="1:8" ht="27.75">
      <c r="A688" s="70">
        <v>310</v>
      </c>
      <c r="B688" s="24" t="s">
        <v>698</v>
      </c>
      <c r="C688" s="159" t="s">
        <v>779</v>
      </c>
      <c r="D688" s="163" t="s">
        <v>1683</v>
      </c>
      <c r="E688" s="155">
        <f>22800*1.07</f>
        <v>24396</v>
      </c>
      <c r="F688" s="101" t="s">
        <v>1670</v>
      </c>
      <c r="G688" s="171" t="s">
        <v>1684</v>
      </c>
      <c r="H688" s="70">
        <v>1</v>
      </c>
    </row>
    <row r="689" spans="1:8" ht="27.75">
      <c r="A689" s="76"/>
      <c r="B689" s="71"/>
      <c r="C689" s="121"/>
      <c r="D689" s="124"/>
      <c r="E689" s="74"/>
      <c r="F689" s="76"/>
      <c r="G689" s="170"/>
      <c r="H689" s="76"/>
    </row>
    <row r="690" spans="1:8" ht="27.75">
      <c r="A690" s="70">
        <v>311</v>
      </c>
      <c r="B690" s="24" t="s">
        <v>200</v>
      </c>
      <c r="C690" s="159" t="s">
        <v>337</v>
      </c>
      <c r="D690" s="163" t="s">
        <v>1685</v>
      </c>
      <c r="E690" s="155">
        <f>51500*1.07</f>
        <v>55105</v>
      </c>
      <c r="F690" s="101" t="s">
        <v>1670</v>
      </c>
      <c r="G690" s="171" t="s">
        <v>1686</v>
      </c>
      <c r="H690" s="70">
        <v>1</v>
      </c>
    </row>
    <row r="691" spans="1:8" ht="27.75">
      <c r="A691" s="76"/>
      <c r="B691" s="71"/>
      <c r="C691" s="121"/>
      <c r="D691" s="73"/>
      <c r="E691" s="74"/>
      <c r="F691" s="76"/>
      <c r="G691" s="170"/>
      <c r="H691" s="76"/>
    </row>
    <row r="692" spans="1:8" ht="27.75">
      <c r="A692" s="70">
        <v>312</v>
      </c>
      <c r="B692" s="157" t="s">
        <v>1439</v>
      </c>
      <c r="C692" s="159" t="s">
        <v>163</v>
      </c>
      <c r="D692" s="4" t="s">
        <v>1687</v>
      </c>
      <c r="E692" s="155">
        <f>10000*1.07</f>
        <v>10700</v>
      </c>
      <c r="F692" s="101" t="s">
        <v>1670</v>
      </c>
      <c r="G692" s="171" t="s">
        <v>1688</v>
      </c>
      <c r="H692" s="70">
        <v>1</v>
      </c>
    </row>
    <row r="693" spans="1:8" ht="27.75">
      <c r="A693" s="76"/>
      <c r="B693" s="71"/>
      <c r="C693" s="121"/>
      <c r="D693" s="89"/>
      <c r="E693" s="74"/>
      <c r="F693" s="76"/>
      <c r="G693" s="232"/>
      <c r="H693" s="76"/>
    </row>
    <row r="694" spans="1:8" ht="27.75">
      <c r="A694" s="70">
        <v>313</v>
      </c>
      <c r="B694" s="22" t="s">
        <v>58</v>
      </c>
      <c r="C694" s="10" t="s">
        <v>270</v>
      </c>
      <c r="D694" s="154" t="s">
        <v>1689</v>
      </c>
      <c r="E694" s="155">
        <f>65060*1.07</f>
        <v>69614.2</v>
      </c>
      <c r="F694" s="101" t="s">
        <v>1670</v>
      </c>
      <c r="G694" s="171" t="s">
        <v>1690</v>
      </c>
      <c r="H694" s="70">
        <v>1</v>
      </c>
    </row>
    <row r="695" spans="1:8" ht="27.75">
      <c r="A695" s="76"/>
      <c r="B695" s="71"/>
      <c r="C695" s="17"/>
      <c r="D695" s="196" t="s">
        <v>226</v>
      </c>
      <c r="E695" s="74"/>
      <c r="F695" s="76"/>
      <c r="G695" s="170"/>
      <c r="H695" s="76"/>
    </row>
    <row r="696" spans="1:8" ht="27.75">
      <c r="A696" s="70">
        <v>314</v>
      </c>
      <c r="B696" s="24" t="s">
        <v>200</v>
      </c>
      <c r="C696" s="10" t="s">
        <v>201</v>
      </c>
      <c r="D696" s="152" t="s">
        <v>1691</v>
      </c>
      <c r="E696" s="151">
        <f>78500*1.07</f>
        <v>83995</v>
      </c>
      <c r="F696" s="101" t="s">
        <v>1692</v>
      </c>
      <c r="G696" s="26" t="s">
        <v>1693</v>
      </c>
      <c r="H696" s="70">
        <v>1</v>
      </c>
    </row>
    <row r="697" spans="1:8" ht="27.75">
      <c r="A697" s="76"/>
      <c r="B697" s="71"/>
      <c r="C697" s="17"/>
      <c r="D697" s="73"/>
      <c r="E697" s="74"/>
      <c r="F697" s="76"/>
      <c r="G697" s="170"/>
      <c r="H697" s="76"/>
    </row>
    <row r="698" spans="1:8" s="43" customFormat="1" ht="27.75">
      <c r="A698" s="84"/>
      <c r="B698" s="84"/>
      <c r="C698" s="2"/>
      <c r="D698" s="78"/>
      <c r="E698" s="94"/>
      <c r="F698" s="84"/>
      <c r="G698" s="84"/>
      <c r="H698" s="84"/>
    </row>
    <row r="699" spans="1:8" ht="33" customHeight="1">
      <c r="A699" s="336" t="s">
        <v>561</v>
      </c>
      <c r="B699" s="338" t="s">
        <v>0</v>
      </c>
      <c r="C699" s="340" t="s">
        <v>1</v>
      </c>
      <c r="D699" s="341" t="s">
        <v>2</v>
      </c>
      <c r="E699" s="342" t="s">
        <v>3</v>
      </c>
      <c r="F699" s="341" t="s">
        <v>4</v>
      </c>
      <c r="G699" s="341"/>
      <c r="H699" s="336" t="s">
        <v>5</v>
      </c>
    </row>
    <row r="700" spans="1:8" ht="52.5" customHeight="1">
      <c r="A700" s="337"/>
      <c r="B700" s="339"/>
      <c r="C700" s="340"/>
      <c r="D700" s="341"/>
      <c r="E700" s="343"/>
      <c r="F700" s="284" t="s">
        <v>6</v>
      </c>
      <c r="G700" s="283" t="s">
        <v>7</v>
      </c>
      <c r="H700" s="337"/>
    </row>
    <row r="701" spans="1:8" ht="27.75">
      <c r="A701" s="70">
        <v>315</v>
      </c>
      <c r="B701" s="162" t="s">
        <v>1458</v>
      </c>
      <c r="C701" s="10" t="s">
        <v>1694</v>
      </c>
      <c r="D701" s="152" t="s">
        <v>1695</v>
      </c>
      <c r="E701" s="151">
        <f>34800*1.07</f>
        <v>37236</v>
      </c>
      <c r="F701" s="101" t="s">
        <v>1692</v>
      </c>
      <c r="G701" s="171" t="s">
        <v>1696</v>
      </c>
      <c r="H701" s="70">
        <v>1</v>
      </c>
    </row>
    <row r="702" spans="1:8" ht="27.75">
      <c r="A702" s="76"/>
      <c r="B702" s="71"/>
      <c r="C702" s="121"/>
      <c r="D702" s="89" t="s">
        <v>138</v>
      </c>
      <c r="E702" s="295"/>
      <c r="F702" s="76"/>
      <c r="G702" s="170"/>
      <c r="H702" s="76"/>
    </row>
    <row r="703" spans="1:8" ht="27.75">
      <c r="A703" s="70">
        <v>316</v>
      </c>
      <c r="B703" s="131" t="s">
        <v>743</v>
      </c>
      <c r="C703" s="159" t="s">
        <v>744</v>
      </c>
      <c r="D703" s="4" t="s">
        <v>1697</v>
      </c>
      <c r="E703" s="155">
        <f>67200*1.07</f>
        <v>71904</v>
      </c>
      <c r="F703" s="116" t="s">
        <v>1692</v>
      </c>
      <c r="G703" s="171" t="s">
        <v>1698</v>
      </c>
      <c r="H703" s="70">
        <v>1</v>
      </c>
    </row>
    <row r="704" spans="1:8" ht="27.75">
      <c r="A704" s="76"/>
      <c r="B704" s="71"/>
      <c r="C704" s="121"/>
      <c r="D704" s="223"/>
      <c r="E704" s="74"/>
      <c r="F704" s="76"/>
      <c r="G704" s="170"/>
      <c r="H704" s="76"/>
    </row>
    <row r="705" spans="1:8" ht="27.75">
      <c r="A705" s="70">
        <v>317</v>
      </c>
      <c r="B705" s="28" t="s">
        <v>9</v>
      </c>
      <c r="C705" s="10" t="s">
        <v>1699</v>
      </c>
      <c r="D705" s="152" t="s">
        <v>1700</v>
      </c>
      <c r="E705" s="151">
        <f>2900*1.07</f>
        <v>3103</v>
      </c>
      <c r="F705" s="101" t="s">
        <v>1692</v>
      </c>
      <c r="G705" s="26" t="s">
        <v>1701</v>
      </c>
      <c r="H705" s="70">
        <v>1</v>
      </c>
    </row>
    <row r="706" spans="1:8" ht="27.75">
      <c r="A706" s="76"/>
      <c r="B706" s="71"/>
      <c r="C706" s="121"/>
      <c r="D706" s="73"/>
      <c r="E706" s="74"/>
      <c r="F706" s="76"/>
      <c r="G706" s="170"/>
      <c r="H706" s="76"/>
    </row>
    <row r="707" spans="1:8" ht="27.75">
      <c r="A707" s="70">
        <v>318</v>
      </c>
      <c r="B707" s="24" t="s">
        <v>141</v>
      </c>
      <c r="C707" s="10" t="s">
        <v>142</v>
      </c>
      <c r="D707" s="152" t="s">
        <v>1702</v>
      </c>
      <c r="E707" s="151">
        <f>63660*1.07</f>
        <v>68116.2</v>
      </c>
      <c r="F707" s="101" t="s">
        <v>1692</v>
      </c>
      <c r="G707" s="26" t="s">
        <v>1703</v>
      </c>
      <c r="H707" s="70">
        <v>1</v>
      </c>
    </row>
    <row r="708" spans="1:8" ht="27.75">
      <c r="A708" s="76"/>
      <c r="B708" s="71"/>
      <c r="C708" s="121"/>
      <c r="D708" s="89" t="s">
        <v>353</v>
      </c>
      <c r="E708" s="74"/>
      <c r="F708" s="76"/>
      <c r="G708" s="170"/>
      <c r="H708" s="76"/>
    </row>
    <row r="709" spans="1:8" ht="27.75">
      <c r="A709" s="70">
        <v>319</v>
      </c>
      <c r="B709" s="24" t="s">
        <v>141</v>
      </c>
      <c r="C709" s="10" t="s">
        <v>142</v>
      </c>
      <c r="D709" s="4" t="s">
        <v>1704</v>
      </c>
      <c r="E709" s="151">
        <f>6475*1.07</f>
        <v>6928.25</v>
      </c>
      <c r="F709" s="101" t="s">
        <v>1692</v>
      </c>
      <c r="G709" s="171" t="s">
        <v>1703</v>
      </c>
      <c r="H709" s="70">
        <v>1</v>
      </c>
    </row>
    <row r="710" spans="1:8" ht="27.75">
      <c r="A710" s="76"/>
      <c r="B710" s="71"/>
      <c r="C710" s="125"/>
      <c r="D710" s="82" t="s">
        <v>636</v>
      </c>
      <c r="E710" s="74"/>
      <c r="F710" s="76"/>
      <c r="G710" s="170"/>
      <c r="H710" s="76"/>
    </row>
    <row r="711" spans="1:8" ht="27.75">
      <c r="A711" s="70">
        <v>320</v>
      </c>
      <c r="B711" s="22" t="s">
        <v>1524</v>
      </c>
      <c r="C711" s="10" t="s">
        <v>1666</v>
      </c>
      <c r="D711" s="154" t="s">
        <v>1705</v>
      </c>
      <c r="E711" s="155">
        <f>58905*1.07</f>
        <v>63028.350000000006</v>
      </c>
      <c r="F711" s="101" t="s">
        <v>1692</v>
      </c>
      <c r="G711" s="171" t="s">
        <v>1706</v>
      </c>
      <c r="H711" s="70">
        <v>1</v>
      </c>
    </row>
    <row r="712" spans="1:8" ht="27.75">
      <c r="A712" s="76"/>
      <c r="B712" s="81"/>
      <c r="C712" s="121"/>
      <c r="D712" s="196" t="s">
        <v>19</v>
      </c>
      <c r="E712" s="83"/>
      <c r="F712" s="80"/>
      <c r="G712" s="175"/>
      <c r="H712" s="80"/>
    </row>
    <row r="713" spans="1:8" ht="27.75">
      <c r="A713" s="70">
        <v>321</v>
      </c>
      <c r="B713" s="36" t="s">
        <v>14</v>
      </c>
      <c r="C713" s="10" t="s">
        <v>15</v>
      </c>
      <c r="D713" s="152" t="s">
        <v>1707</v>
      </c>
      <c r="E713" s="151">
        <f>11010*1.07</f>
        <v>11780.7</v>
      </c>
      <c r="F713" s="101" t="s">
        <v>1692</v>
      </c>
      <c r="G713" s="13" t="s">
        <v>1708</v>
      </c>
      <c r="H713" s="70">
        <v>1</v>
      </c>
    </row>
    <row r="714" spans="1:8" ht="27.75">
      <c r="A714" s="76"/>
      <c r="B714" s="71"/>
      <c r="C714" s="121"/>
      <c r="D714" s="89" t="s">
        <v>349</v>
      </c>
      <c r="E714" s="74"/>
      <c r="F714" s="76"/>
      <c r="G714" s="170"/>
      <c r="H714" s="76"/>
    </row>
    <row r="715" spans="1:8" ht="27.75">
      <c r="A715" s="70">
        <v>322</v>
      </c>
      <c r="B715" s="28" t="s">
        <v>54</v>
      </c>
      <c r="C715" s="159" t="s">
        <v>243</v>
      </c>
      <c r="D715" s="4" t="s">
        <v>1709</v>
      </c>
      <c r="E715" s="155">
        <f>13282*1.07</f>
        <v>14211.740000000002</v>
      </c>
      <c r="F715" s="116" t="s">
        <v>1692</v>
      </c>
      <c r="G715" s="171" t="s">
        <v>1710</v>
      </c>
      <c r="H715" s="70">
        <v>1</v>
      </c>
    </row>
    <row r="716" spans="1:8" ht="27.75">
      <c r="A716" s="76"/>
      <c r="B716" s="226"/>
      <c r="C716" s="125"/>
      <c r="D716" s="82" t="s">
        <v>929</v>
      </c>
      <c r="E716" s="83"/>
      <c r="F716" s="80"/>
      <c r="G716" s="80"/>
      <c r="H716" s="80"/>
    </row>
    <row r="717" spans="1:8" ht="27.75">
      <c r="A717" s="70">
        <v>323</v>
      </c>
      <c r="B717" s="28" t="s">
        <v>9</v>
      </c>
      <c r="C717" s="10" t="s">
        <v>50</v>
      </c>
      <c r="D717" s="152" t="s">
        <v>1711</v>
      </c>
      <c r="E717" s="151">
        <f>4900*1.07</f>
        <v>5243</v>
      </c>
      <c r="F717" s="101" t="s">
        <v>1692</v>
      </c>
      <c r="G717" s="13" t="s">
        <v>1712</v>
      </c>
      <c r="H717" s="70">
        <v>1</v>
      </c>
    </row>
    <row r="718" spans="1:8" ht="27.75">
      <c r="A718" s="76"/>
      <c r="B718" s="71"/>
      <c r="C718" s="17"/>
      <c r="D718" s="89"/>
      <c r="E718" s="74"/>
      <c r="F718" s="76"/>
      <c r="G718" s="170"/>
      <c r="H718" s="76"/>
    </row>
    <row r="719" spans="1:8" ht="27.75">
      <c r="A719" s="70">
        <v>324</v>
      </c>
      <c r="B719" s="44" t="s">
        <v>40</v>
      </c>
      <c r="C719" s="159" t="s">
        <v>41</v>
      </c>
      <c r="D719" s="4" t="s">
        <v>1713</v>
      </c>
      <c r="E719" s="155">
        <f>20100*1.07</f>
        <v>21507</v>
      </c>
      <c r="F719" s="101" t="s">
        <v>1714</v>
      </c>
      <c r="G719" s="171" t="s">
        <v>1715</v>
      </c>
      <c r="H719" s="70">
        <v>1</v>
      </c>
    </row>
    <row r="720" spans="1:8" ht="27.75">
      <c r="A720" s="76"/>
      <c r="B720" s="71"/>
      <c r="C720" s="121" t="s">
        <v>44</v>
      </c>
      <c r="D720" s="89"/>
      <c r="E720" s="74"/>
      <c r="F720" s="76"/>
      <c r="G720" s="170"/>
      <c r="H720" s="80"/>
    </row>
    <row r="721" spans="1:8" ht="27.75">
      <c r="A721" s="70">
        <v>325</v>
      </c>
      <c r="B721" s="162" t="s">
        <v>1716</v>
      </c>
      <c r="C721" s="159" t="s">
        <v>1717</v>
      </c>
      <c r="D721" s="4" t="s">
        <v>1718</v>
      </c>
      <c r="E721" s="155">
        <f>54400*1.07</f>
        <v>58208</v>
      </c>
      <c r="F721" s="101" t="s">
        <v>1714</v>
      </c>
      <c r="G721" s="171" t="s">
        <v>1719</v>
      </c>
      <c r="H721" s="70">
        <v>1</v>
      </c>
    </row>
    <row r="722" spans="1:8" ht="27.75">
      <c r="A722" s="76"/>
      <c r="B722" s="81"/>
      <c r="C722" s="77"/>
      <c r="D722" s="82" t="s">
        <v>19</v>
      </c>
      <c r="E722" s="74"/>
      <c r="F722" s="76"/>
      <c r="G722" s="75"/>
      <c r="H722" s="76"/>
    </row>
    <row r="723" spans="1:8" ht="27.75">
      <c r="A723" s="70">
        <v>326</v>
      </c>
      <c r="B723" s="134" t="s">
        <v>1287</v>
      </c>
      <c r="C723" s="10" t="s">
        <v>1288</v>
      </c>
      <c r="D723" s="152" t="s">
        <v>1720</v>
      </c>
      <c r="E723" s="155">
        <f>44000*1.07</f>
        <v>47080</v>
      </c>
      <c r="F723" s="101" t="s">
        <v>1714</v>
      </c>
      <c r="G723" s="171" t="s">
        <v>1721</v>
      </c>
      <c r="H723" s="70">
        <v>1</v>
      </c>
    </row>
    <row r="724" spans="1:8" ht="27.75">
      <c r="A724" s="76"/>
      <c r="B724" s="76"/>
      <c r="C724" s="72"/>
      <c r="D724" s="275" t="s">
        <v>1722</v>
      </c>
      <c r="E724" s="74"/>
      <c r="F724" s="76"/>
      <c r="G724" s="75"/>
      <c r="H724" s="80"/>
    </row>
    <row r="725" spans="1:8" ht="27.75">
      <c r="A725" s="70">
        <v>327</v>
      </c>
      <c r="B725" s="162" t="s">
        <v>1723</v>
      </c>
      <c r="C725" s="159" t="s">
        <v>1724</v>
      </c>
      <c r="D725" s="163" t="s">
        <v>1725</v>
      </c>
      <c r="E725" s="155">
        <f>92200*1.07</f>
        <v>98654</v>
      </c>
      <c r="F725" s="101" t="s">
        <v>1714</v>
      </c>
      <c r="G725" s="171" t="s">
        <v>1726</v>
      </c>
      <c r="H725" s="70">
        <v>1</v>
      </c>
    </row>
    <row r="726" spans="1:8" ht="27.75">
      <c r="A726" s="76"/>
      <c r="B726" s="71"/>
      <c r="C726" s="17"/>
      <c r="D726" s="73"/>
      <c r="E726" s="74"/>
      <c r="F726" s="76"/>
      <c r="G726" s="75"/>
      <c r="H726" s="76"/>
    </row>
    <row r="727" spans="1:8" ht="27.75">
      <c r="A727" s="70">
        <v>328</v>
      </c>
      <c r="B727" s="22" t="s">
        <v>58</v>
      </c>
      <c r="C727" s="10" t="s">
        <v>59</v>
      </c>
      <c r="D727" s="211" t="s">
        <v>1727</v>
      </c>
      <c r="E727" s="151">
        <f>1550*1.07</f>
        <v>1658.5</v>
      </c>
      <c r="F727" s="101" t="s">
        <v>1714</v>
      </c>
      <c r="G727" s="13" t="s">
        <v>1728</v>
      </c>
      <c r="H727" s="70">
        <v>1</v>
      </c>
    </row>
    <row r="728" spans="1:8" ht="27.75">
      <c r="A728" s="76"/>
      <c r="B728" s="71"/>
      <c r="C728" s="72"/>
      <c r="D728" s="73"/>
      <c r="E728" s="74"/>
      <c r="F728" s="76"/>
      <c r="G728" s="170"/>
      <c r="H728" s="80"/>
    </row>
    <row r="729" spans="1:8" ht="27.75">
      <c r="A729" s="70">
        <v>329</v>
      </c>
      <c r="B729" s="131" t="s">
        <v>1641</v>
      </c>
      <c r="C729" s="159" t="s">
        <v>177</v>
      </c>
      <c r="D729" s="163" t="s">
        <v>1729</v>
      </c>
      <c r="E729" s="155">
        <f>8160*1.07</f>
        <v>8731.2000000000007</v>
      </c>
      <c r="F729" s="116" t="s">
        <v>1714</v>
      </c>
      <c r="G729" s="171" t="s">
        <v>1730</v>
      </c>
      <c r="H729" s="70">
        <v>1</v>
      </c>
    </row>
    <row r="730" spans="1:8" ht="27.75">
      <c r="A730" s="76"/>
      <c r="B730" s="71"/>
      <c r="C730" s="72"/>
      <c r="D730" s="89"/>
      <c r="E730" s="74"/>
      <c r="F730" s="76"/>
      <c r="G730" s="170"/>
      <c r="H730" s="76"/>
    </row>
    <row r="731" spans="1:8" ht="27.75">
      <c r="A731" s="70">
        <v>330</v>
      </c>
      <c r="B731" s="24" t="s">
        <v>158</v>
      </c>
      <c r="C731" s="10" t="s">
        <v>637</v>
      </c>
      <c r="D731" s="211" t="s">
        <v>1731</v>
      </c>
      <c r="E731" s="151">
        <f>89500*1.07</f>
        <v>95765</v>
      </c>
      <c r="F731" s="101" t="s">
        <v>1714</v>
      </c>
      <c r="G731" s="26" t="s">
        <v>1732</v>
      </c>
      <c r="H731" s="70">
        <v>1</v>
      </c>
    </row>
    <row r="732" spans="1:8" ht="27.75">
      <c r="A732" s="76"/>
      <c r="B732" s="71"/>
      <c r="C732" s="72"/>
      <c r="D732" s="89" t="s">
        <v>138</v>
      </c>
      <c r="E732" s="74"/>
      <c r="F732" s="76"/>
      <c r="G732" s="75"/>
      <c r="H732" s="76"/>
    </row>
    <row r="733" spans="1:8" s="43" customFormat="1" ht="27.75">
      <c r="A733" s="84"/>
      <c r="B733" s="84"/>
      <c r="C733" s="78"/>
      <c r="D733" s="82"/>
      <c r="E733" s="94"/>
      <c r="F733" s="84"/>
      <c r="G733" s="84"/>
      <c r="H733" s="84"/>
    </row>
    <row r="734" spans="1:8" ht="27.75">
      <c r="A734" s="336" t="s">
        <v>561</v>
      </c>
      <c r="B734" s="338" t="s">
        <v>0</v>
      </c>
      <c r="C734" s="340" t="s">
        <v>1</v>
      </c>
      <c r="D734" s="341" t="s">
        <v>2</v>
      </c>
      <c r="E734" s="342" t="s">
        <v>3</v>
      </c>
      <c r="F734" s="344" t="s">
        <v>4</v>
      </c>
      <c r="G734" s="341"/>
      <c r="H734" s="336" t="s">
        <v>5</v>
      </c>
    </row>
    <row r="735" spans="1:8" ht="61.5" customHeight="1">
      <c r="A735" s="337"/>
      <c r="B735" s="339"/>
      <c r="C735" s="340"/>
      <c r="D735" s="341"/>
      <c r="E735" s="343"/>
      <c r="F735" s="284" t="s">
        <v>6</v>
      </c>
      <c r="G735" s="283" t="s">
        <v>7</v>
      </c>
      <c r="H735" s="337"/>
    </row>
    <row r="736" spans="1:8" ht="27.75">
      <c r="A736" s="70">
        <v>331</v>
      </c>
      <c r="B736" s="37" t="s">
        <v>27</v>
      </c>
      <c r="C736" s="10" t="s">
        <v>28</v>
      </c>
      <c r="D736" s="211" t="s">
        <v>1733</v>
      </c>
      <c r="E736" s="151">
        <f>5760*1.07</f>
        <v>6163.2000000000007</v>
      </c>
      <c r="F736" s="101" t="s">
        <v>1714</v>
      </c>
      <c r="G736" s="171" t="s">
        <v>1734</v>
      </c>
      <c r="H736" s="70">
        <v>1</v>
      </c>
    </row>
    <row r="737" spans="1:8" ht="27.75">
      <c r="A737" s="76"/>
      <c r="B737" s="296"/>
      <c r="C737" s="72"/>
      <c r="D737" s="223" t="s">
        <v>1735</v>
      </c>
      <c r="E737" s="74"/>
      <c r="F737" s="76"/>
      <c r="G737" s="75"/>
      <c r="H737" s="76"/>
    </row>
    <row r="738" spans="1:8" ht="27.75">
      <c r="A738" s="70">
        <v>332</v>
      </c>
      <c r="B738" s="36" t="s">
        <v>14</v>
      </c>
      <c r="C738" s="10" t="s">
        <v>15</v>
      </c>
      <c r="D738" s="152" t="s">
        <v>1736</v>
      </c>
      <c r="E738" s="161">
        <f>595*1.07</f>
        <v>636.65000000000009</v>
      </c>
      <c r="F738" s="101" t="s">
        <v>1714</v>
      </c>
      <c r="G738" s="26" t="s">
        <v>1737</v>
      </c>
      <c r="H738" s="70">
        <v>1</v>
      </c>
    </row>
    <row r="739" spans="1:8" ht="27.75">
      <c r="A739" s="76"/>
      <c r="B739" s="71"/>
      <c r="C739" s="72"/>
      <c r="D739" s="73"/>
      <c r="E739" s="74"/>
      <c r="F739" s="76"/>
      <c r="G739" s="75"/>
      <c r="H739" s="76"/>
    </row>
    <row r="740" spans="1:8" ht="27.75">
      <c r="A740" s="70">
        <v>333</v>
      </c>
      <c r="B740" s="37" t="s">
        <v>27</v>
      </c>
      <c r="C740" s="10" t="s">
        <v>28</v>
      </c>
      <c r="D740" s="10" t="s">
        <v>1738</v>
      </c>
      <c r="E740" s="151">
        <f>55320*1.07</f>
        <v>59192.4</v>
      </c>
      <c r="F740" s="101" t="s">
        <v>1714</v>
      </c>
      <c r="G740" s="26" t="s">
        <v>1739</v>
      </c>
      <c r="H740" s="70">
        <v>1</v>
      </c>
    </row>
    <row r="741" spans="1:8" ht="27.75">
      <c r="A741" s="76"/>
      <c r="B741" s="71"/>
      <c r="C741" s="72"/>
      <c r="D741" s="17" t="s">
        <v>1740</v>
      </c>
      <c r="E741" s="74"/>
      <c r="F741" s="76"/>
      <c r="G741" s="75"/>
      <c r="H741" s="76"/>
    </row>
    <row r="742" spans="1:8" ht="27.75">
      <c r="A742" s="70">
        <v>334</v>
      </c>
      <c r="B742" s="162" t="s">
        <v>1189</v>
      </c>
      <c r="C742" s="159" t="s">
        <v>1190</v>
      </c>
      <c r="D742" s="4" t="s">
        <v>1741</v>
      </c>
      <c r="E742" s="155">
        <f>65000*1.07</f>
        <v>69550</v>
      </c>
      <c r="F742" s="101" t="s">
        <v>1742</v>
      </c>
      <c r="G742" s="171" t="s">
        <v>1743</v>
      </c>
      <c r="H742" s="70">
        <v>1</v>
      </c>
    </row>
    <row r="743" spans="1:8" ht="27.75">
      <c r="A743" s="76"/>
      <c r="B743" s="71"/>
      <c r="C743" s="189"/>
      <c r="D743" s="89"/>
      <c r="E743" s="74"/>
      <c r="F743" s="76"/>
      <c r="G743" s="75"/>
      <c r="H743" s="76"/>
    </row>
    <row r="744" spans="1:8" ht="27.75">
      <c r="A744" s="70">
        <v>335</v>
      </c>
      <c r="B744" s="105" t="s">
        <v>100</v>
      </c>
      <c r="C744" s="180" t="s">
        <v>101</v>
      </c>
      <c r="D744" s="10" t="s">
        <v>817</v>
      </c>
      <c r="E744" s="205">
        <f>91000*1.07</f>
        <v>97370</v>
      </c>
      <c r="F744" s="101" t="s">
        <v>1742</v>
      </c>
      <c r="G744" s="171" t="s">
        <v>1744</v>
      </c>
      <c r="H744" s="70">
        <v>1</v>
      </c>
    </row>
    <row r="745" spans="1:8" ht="27.75">
      <c r="A745" s="76"/>
      <c r="B745" s="71"/>
      <c r="C745" s="115"/>
      <c r="D745" s="169"/>
      <c r="E745" s="206"/>
      <c r="F745" s="76"/>
      <c r="G745" s="75"/>
      <c r="H745" s="76"/>
    </row>
    <row r="746" spans="1:8" ht="27.75">
      <c r="A746" s="70">
        <v>336</v>
      </c>
      <c r="B746" s="162" t="s">
        <v>1745</v>
      </c>
      <c r="C746" s="182" t="s">
        <v>1746</v>
      </c>
      <c r="D746" s="186" t="s">
        <v>1747</v>
      </c>
      <c r="E746" s="224">
        <f>5640*1.07</f>
        <v>6034.8</v>
      </c>
      <c r="F746" s="101" t="s">
        <v>1742</v>
      </c>
      <c r="G746" s="171" t="s">
        <v>1748</v>
      </c>
      <c r="H746" s="70">
        <v>1</v>
      </c>
    </row>
    <row r="747" spans="1:8" ht="27.75">
      <c r="A747" s="76"/>
      <c r="B747" s="71"/>
      <c r="C747" s="115"/>
      <c r="D747" s="169"/>
      <c r="E747" s="206"/>
      <c r="F747" s="204"/>
      <c r="G747" s="170"/>
      <c r="H747" s="80"/>
    </row>
    <row r="748" spans="1:8" ht="27.75">
      <c r="A748" s="70">
        <v>337</v>
      </c>
      <c r="B748" s="22" t="s">
        <v>58</v>
      </c>
      <c r="C748" s="4" t="s">
        <v>270</v>
      </c>
      <c r="D748" s="159" t="s">
        <v>1749</v>
      </c>
      <c r="E748" s="1">
        <f>3400*1.07</f>
        <v>3638</v>
      </c>
      <c r="F748" s="101" t="s">
        <v>1750</v>
      </c>
      <c r="G748" s="171" t="s">
        <v>1751</v>
      </c>
      <c r="H748" s="70">
        <v>1</v>
      </c>
    </row>
    <row r="749" spans="1:8" ht="27.75">
      <c r="A749" s="76"/>
      <c r="B749" s="71"/>
      <c r="C749" s="115"/>
      <c r="D749" s="169"/>
      <c r="E749" s="206"/>
      <c r="F749" s="76"/>
      <c r="G749" s="75"/>
      <c r="H749" s="76"/>
    </row>
    <row r="750" spans="1:8" ht="27.75">
      <c r="A750" s="70">
        <v>338</v>
      </c>
      <c r="B750" s="119" t="s">
        <v>124</v>
      </c>
      <c r="C750" s="4" t="s">
        <v>290</v>
      </c>
      <c r="D750" s="159" t="s">
        <v>1630</v>
      </c>
      <c r="E750" s="1">
        <f>50000*1.07</f>
        <v>53500</v>
      </c>
      <c r="F750" s="101" t="s">
        <v>1750</v>
      </c>
      <c r="G750" s="171" t="s">
        <v>1752</v>
      </c>
      <c r="H750" s="70">
        <v>1</v>
      </c>
    </row>
    <row r="751" spans="1:8" ht="27.75">
      <c r="A751" s="76"/>
      <c r="B751" s="71"/>
      <c r="C751" s="115"/>
      <c r="D751" s="169"/>
      <c r="E751" s="206"/>
      <c r="F751" s="76"/>
      <c r="G751" s="170"/>
      <c r="H751" s="76"/>
    </row>
    <row r="752" spans="1:8" ht="27.75">
      <c r="A752" s="70">
        <v>339</v>
      </c>
      <c r="B752" s="24" t="s">
        <v>141</v>
      </c>
      <c r="C752" s="4" t="s">
        <v>142</v>
      </c>
      <c r="D752" s="159" t="s">
        <v>1753</v>
      </c>
      <c r="E752" s="1">
        <f>28970*1.07</f>
        <v>30997.9</v>
      </c>
      <c r="F752" s="101" t="s">
        <v>1750</v>
      </c>
      <c r="G752" s="171" t="s">
        <v>1754</v>
      </c>
      <c r="H752" s="70">
        <v>1</v>
      </c>
    </row>
    <row r="753" spans="1:8" ht="27.75">
      <c r="A753" s="76"/>
      <c r="B753" s="80"/>
      <c r="C753" s="111"/>
      <c r="D753" s="167" t="s">
        <v>353</v>
      </c>
      <c r="E753" s="257"/>
      <c r="F753" s="80"/>
      <c r="G753" s="175"/>
      <c r="H753" s="76"/>
    </row>
    <row r="754" spans="1:8" ht="27.75">
      <c r="A754" s="70">
        <v>340</v>
      </c>
      <c r="B754" s="119" t="s">
        <v>124</v>
      </c>
      <c r="C754" s="152" t="s">
        <v>290</v>
      </c>
      <c r="D754" s="10" t="s">
        <v>1755</v>
      </c>
      <c r="E754" s="11">
        <f>9800*1.07</f>
        <v>10486</v>
      </c>
      <c r="F754" s="101" t="s">
        <v>1750</v>
      </c>
      <c r="G754" s="181" t="s">
        <v>1756</v>
      </c>
      <c r="H754" s="70">
        <v>1</v>
      </c>
    </row>
    <row r="755" spans="1:8" ht="27.75">
      <c r="A755" s="76"/>
      <c r="B755" s="71"/>
      <c r="C755" s="115"/>
      <c r="D755" s="169"/>
      <c r="E755" s="206"/>
      <c r="F755" s="76"/>
      <c r="G755" s="170"/>
      <c r="H755" s="76"/>
    </row>
    <row r="756" spans="1:8" ht="27.75">
      <c r="A756" s="70">
        <v>341</v>
      </c>
      <c r="B756" s="110" t="s">
        <v>124</v>
      </c>
      <c r="C756" s="4" t="s">
        <v>290</v>
      </c>
      <c r="D756" s="186" t="s">
        <v>1757</v>
      </c>
      <c r="E756" s="1">
        <f>22000*1.07</f>
        <v>23540</v>
      </c>
      <c r="F756" s="116" t="s">
        <v>1750</v>
      </c>
      <c r="G756" s="171" t="s">
        <v>1758</v>
      </c>
      <c r="H756" s="70">
        <v>1</v>
      </c>
    </row>
    <row r="757" spans="1:8" ht="27.75">
      <c r="A757" s="76"/>
      <c r="B757" s="75"/>
      <c r="C757" s="115"/>
      <c r="D757" s="169"/>
      <c r="E757" s="206"/>
      <c r="F757" s="76"/>
      <c r="G757" s="170"/>
      <c r="H757" s="80"/>
    </row>
    <row r="758" spans="1:8" ht="27.75">
      <c r="A758" s="70">
        <v>342</v>
      </c>
      <c r="B758" s="28" t="s">
        <v>9</v>
      </c>
      <c r="C758" s="4" t="s">
        <v>50</v>
      </c>
      <c r="D758" s="159" t="s">
        <v>1759</v>
      </c>
      <c r="E758" s="224">
        <f>2980*1.07</f>
        <v>3188.6000000000004</v>
      </c>
      <c r="F758" s="101" t="s">
        <v>1750</v>
      </c>
      <c r="G758" s="171" t="s">
        <v>1760</v>
      </c>
      <c r="H758" s="70">
        <v>1</v>
      </c>
    </row>
    <row r="759" spans="1:8" ht="27.75">
      <c r="A759" s="76"/>
      <c r="B759" s="80"/>
      <c r="C759" s="111"/>
      <c r="D759" s="167" t="s">
        <v>19</v>
      </c>
      <c r="E759" s="257"/>
      <c r="F759" s="80"/>
      <c r="G759" s="175"/>
      <c r="H759" s="76"/>
    </row>
    <row r="760" spans="1:8" ht="27.75">
      <c r="A760" s="70">
        <v>343</v>
      </c>
      <c r="B760" s="24" t="s">
        <v>141</v>
      </c>
      <c r="C760" s="152" t="s">
        <v>142</v>
      </c>
      <c r="D760" s="10" t="s">
        <v>1761</v>
      </c>
      <c r="E760" s="11">
        <f>29218*1.07</f>
        <v>31263.260000000002</v>
      </c>
      <c r="F760" s="101" t="s">
        <v>1750</v>
      </c>
      <c r="G760" s="13" t="s">
        <v>1762</v>
      </c>
      <c r="H760" s="70">
        <v>1</v>
      </c>
    </row>
    <row r="761" spans="1:8" ht="27.75">
      <c r="A761" s="76"/>
      <c r="B761" s="71"/>
      <c r="C761" s="115"/>
      <c r="D761" s="169"/>
      <c r="E761" s="206"/>
      <c r="F761" s="76"/>
      <c r="G761" s="170"/>
      <c r="H761" s="76"/>
    </row>
    <row r="762" spans="1:8" ht="27.75">
      <c r="A762" s="70">
        <v>344</v>
      </c>
      <c r="B762" s="187" t="s">
        <v>158</v>
      </c>
      <c r="C762" s="4" t="s">
        <v>159</v>
      </c>
      <c r="D762" s="159" t="s">
        <v>1763</v>
      </c>
      <c r="E762" s="1">
        <f>2500*1.07</f>
        <v>2675</v>
      </c>
      <c r="F762" s="116" t="s">
        <v>1750</v>
      </c>
      <c r="G762" s="171" t="s">
        <v>1764</v>
      </c>
      <c r="H762" s="70">
        <v>1</v>
      </c>
    </row>
    <row r="763" spans="1:8" ht="27.75">
      <c r="A763" s="76"/>
      <c r="B763" s="75"/>
      <c r="C763" s="115"/>
      <c r="D763" s="169"/>
      <c r="E763" s="206"/>
      <c r="F763" s="76"/>
      <c r="G763" s="170"/>
      <c r="H763" s="76"/>
    </row>
    <row r="764" spans="1:8" ht="27.75">
      <c r="A764" s="70">
        <v>345</v>
      </c>
      <c r="B764" s="95" t="s">
        <v>158</v>
      </c>
      <c r="C764" s="10" t="s">
        <v>637</v>
      </c>
      <c r="D764" s="186" t="s">
        <v>1765</v>
      </c>
      <c r="E764" s="1">
        <f>13600*1.07</f>
        <v>14552</v>
      </c>
      <c r="F764" s="101" t="s">
        <v>1750</v>
      </c>
      <c r="G764" s="171" t="s">
        <v>1766</v>
      </c>
      <c r="H764" s="70">
        <v>1</v>
      </c>
    </row>
    <row r="765" spans="1:8" ht="27.75">
      <c r="A765" s="76"/>
      <c r="B765" s="84"/>
      <c r="C765" s="77"/>
      <c r="D765" s="167"/>
      <c r="E765" s="257"/>
      <c r="F765" s="80"/>
      <c r="G765" s="175"/>
      <c r="H765" s="76"/>
    </row>
    <row r="766" spans="1:8" ht="27.75">
      <c r="A766" s="70">
        <v>346</v>
      </c>
      <c r="B766" s="135" t="s">
        <v>488</v>
      </c>
      <c r="C766" s="10" t="s">
        <v>607</v>
      </c>
      <c r="D766" s="172" t="s">
        <v>1767</v>
      </c>
      <c r="E766" s="11">
        <f>50000*1.07</f>
        <v>53500</v>
      </c>
      <c r="F766" s="101" t="s">
        <v>1750</v>
      </c>
      <c r="G766" s="13" t="s">
        <v>1768</v>
      </c>
      <c r="H766" s="70">
        <v>1</v>
      </c>
    </row>
    <row r="767" spans="1:8" ht="27.75">
      <c r="A767" s="76"/>
      <c r="B767" s="71"/>
      <c r="C767" s="72"/>
      <c r="D767" s="169" t="s">
        <v>1769</v>
      </c>
      <c r="E767" s="206"/>
      <c r="F767" s="76"/>
      <c r="G767" s="170"/>
      <c r="H767" s="80"/>
    </row>
    <row r="768" spans="1:8" ht="27.75">
      <c r="A768" s="336" t="s">
        <v>561</v>
      </c>
      <c r="B768" s="338" t="s">
        <v>0</v>
      </c>
      <c r="C768" s="340" t="s">
        <v>1</v>
      </c>
      <c r="D768" s="341" t="s">
        <v>2</v>
      </c>
      <c r="E768" s="342" t="s">
        <v>3</v>
      </c>
      <c r="F768" s="344" t="s">
        <v>4</v>
      </c>
      <c r="G768" s="341"/>
      <c r="H768" s="336" t="s">
        <v>5</v>
      </c>
    </row>
    <row r="769" spans="1:8" ht="61.5" customHeight="1">
      <c r="A769" s="337"/>
      <c r="B769" s="339"/>
      <c r="C769" s="340"/>
      <c r="D769" s="341"/>
      <c r="E769" s="343"/>
      <c r="F769" s="284" t="s">
        <v>6</v>
      </c>
      <c r="G769" s="283" t="s">
        <v>7</v>
      </c>
      <c r="H769" s="337"/>
    </row>
    <row r="770" spans="1:8" ht="27.75">
      <c r="A770" s="70">
        <v>347</v>
      </c>
      <c r="B770" s="26" t="s">
        <v>488</v>
      </c>
      <c r="C770" s="159" t="s">
        <v>369</v>
      </c>
      <c r="D770" s="159" t="s">
        <v>1770</v>
      </c>
      <c r="E770" s="1">
        <f>34000*1.07</f>
        <v>36380</v>
      </c>
      <c r="F770" s="101" t="s">
        <v>1750</v>
      </c>
      <c r="G770" s="171" t="s">
        <v>1771</v>
      </c>
      <c r="H770" s="70">
        <v>1</v>
      </c>
    </row>
    <row r="771" spans="1:8" ht="27.75">
      <c r="A771" s="76"/>
      <c r="B771" s="71"/>
      <c r="C771" s="72"/>
      <c r="D771" s="72"/>
      <c r="E771" s="206"/>
      <c r="F771" s="76"/>
      <c r="G771" s="170"/>
      <c r="H771" s="76"/>
    </row>
    <row r="772" spans="1:8" ht="27.75">
      <c r="A772" s="70">
        <v>348</v>
      </c>
      <c r="B772" s="24" t="s">
        <v>183</v>
      </c>
      <c r="C772" s="152" t="s">
        <v>184</v>
      </c>
      <c r="D772" s="10" t="s">
        <v>1772</v>
      </c>
      <c r="E772" s="11">
        <f>21780*1.07</f>
        <v>23304.600000000002</v>
      </c>
      <c r="F772" s="101" t="s">
        <v>1750</v>
      </c>
      <c r="G772" s="13" t="s">
        <v>1773</v>
      </c>
      <c r="H772" s="70">
        <v>1</v>
      </c>
    </row>
    <row r="773" spans="1:8" ht="27.75">
      <c r="A773" s="76"/>
      <c r="B773" s="76"/>
      <c r="C773" s="73"/>
      <c r="D773" s="17" t="s">
        <v>1774</v>
      </c>
      <c r="E773" s="206"/>
      <c r="F773" s="76"/>
      <c r="G773" s="170"/>
      <c r="H773" s="76"/>
    </row>
    <row r="774" spans="1:8" ht="27.75">
      <c r="A774" s="70">
        <v>349</v>
      </c>
      <c r="B774" s="37" t="s">
        <v>27</v>
      </c>
      <c r="C774" s="4" t="s">
        <v>80</v>
      </c>
      <c r="D774" s="159" t="s">
        <v>1775</v>
      </c>
      <c r="E774" s="1">
        <f>7150*1.07</f>
        <v>7650.5</v>
      </c>
      <c r="F774" s="101" t="s">
        <v>1776</v>
      </c>
      <c r="G774" s="171" t="s">
        <v>1777</v>
      </c>
      <c r="H774" s="70">
        <v>1</v>
      </c>
    </row>
    <row r="775" spans="1:8" ht="27.75">
      <c r="A775" s="76"/>
      <c r="B775" s="75"/>
      <c r="C775" s="115"/>
      <c r="D775" s="169"/>
      <c r="E775" s="297"/>
      <c r="F775" s="73"/>
      <c r="G775" s="76"/>
      <c r="H775" s="76"/>
    </row>
    <row r="776" spans="1:8" ht="27.75">
      <c r="A776" s="70">
        <v>350</v>
      </c>
      <c r="B776" s="22" t="s">
        <v>58</v>
      </c>
      <c r="C776" s="4" t="s">
        <v>270</v>
      </c>
      <c r="D776" s="10" t="s">
        <v>1778</v>
      </c>
      <c r="E776" s="1">
        <f>50000*1.07</f>
        <v>53500</v>
      </c>
      <c r="F776" s="101" t="s">
        <v>1776</v>
      </c>
      <c r="G776" s="171" t="s">
        <v>1779</v>
      </c>
      <c r="H776" s="70">
        <v>1</v>
      </c>
    </row>
    <row r="777" spans="1:8" ht="27.75">
      <c r="A777" s="76"/>
      <c r="B777" s="75"/>
      <c r="C777" s="115"/>
      <c r="D777" s="169"/>
      <c r="E777" s="297"/>
      <c r="F777" s="73"/>
      <c r="G777" s="76"/>
      <c r="H777" s="76"/>
    </row>
    <row r="778" spans="1:8" ht="27.75">
      <c r="A778" s="70">
        <v>351</v>
      </c>
      <c r="B778" s="22" t="s">
        <v>435</v>
      </c>
      <c r="C778" s="4" t="s">
        <v>436</v>
      </c>
      <c r="D778" s="186" t="s">
        <v>1780</v>
      </c>
      <c r="E778" s="1">
        <f>34600*1.07</f>
        <v>37022</v>
      </c>
      <c r="F778" s="101" t="s">
        <v>1776</v>
      </c>
      <c r="G778" s="171" t="s">
        <v>1781</v>
      </c>
      <c r="H778" s="70">
        <v>1</v>
      </c>
    </row>
    <row r="779" spans="1:8" ht="27.75">
      <c r="A779" s="76"/>
      <c r="B779" s="71"/>
      <c r="C779" s="201"/>
      <c r="D779" s="74" t="s">
        <v>1782</v>
      </c>
      <c r="E779" s="206"/>
      <c r="F779" s="75"/>
      <c r="G779" s="76"/>
      <c r="H779" s="76"/>
    </row>
    <row r="780" spans="1:8" ht="27.75">
      <c r="A780" s="70">
        <v>352</v>
      </c>
      <c r="B780" s="24" t="s">
        <v>141</v>
      </c>
      <c r="C780" s="152" t="s">
        <v>340</v>
      </c>
      <c r="D780" s="10" t="s">
        <v>1783</v>
      </c>
      <c r="E780" s="11">
        <f>1515*1.07</f>
        <v>1621.0500000000002</v>
      </c>
      <c r="F780" s="101" t="s">
        <v>1776</v>
      </c>
      <c r="G780" s="13" t="s">
        <v>1784</v>
      </c>
      <c r="H780" s="70">
        <v>1</v>
      </c>
    </row>
    <row r="781" spans="1:8" ht="27.75">
      <c r="A781" s="76"/>
      <c r="B781" s="71"/>
      <c r="C781" s="201"/>
      <c r="D781" s="72"/>
      <c r="E781" s="206"/>
      <c r="F781" s="75"/>
      <c r="G781" s="76"/>
      <c r="H781" s="76"/>
    </row>
    <row r="782" spans="1:8" ht="27.75">
      <c r="A782" s="70">
        <v>353</v>
      </c>
      <c r="B782" s="187" t="s">
        <v>200</v>
      </c>
      <c r="C782" s="4" t="s">
        <v>201</v>
      </c>
      <c r="D782" s="159" t="s">
        <v>1785</v>
      </c>
      <c r="E782" s="1">
        <f>22500*1.07</f>
        <v>24075</v>
      </c>
      <c r="F782" s="116" t="s">
        <v>1776</v>
      </c>
      <c r="G782" s="171" t="s">
        <v>1786</v>
      </c>
      <c r="H782" s="70">
        <v>1</v>
      </c>
    </row>
    <row r="783" spans="1:8" ht="27.75">
      <c r="A783" s="76"/>
      <c r="B783" s="84"/>
      <c r="C783" s="258"/>
      <c r="D783" s="222" t="s">
        <v>1787</v>
      </c>
      <c r="E783" s="257"/>
      <c r="F783" s="84"/>
      <c r="G783" s="80"/>
      <c r="H783" s="76"/>
    </row>
    <row r="784" spans="1:8" ht="27.75">
      <c r="A784" s="70">
        <v>354</v>
      </c>
      <c r="B784" s="37" t="s">
        <v>27</v>
      </c>
      <c r="C784" s="152" t="s">
        <v>28</v>
      </c>
      <c r="D784" s="10" t="s">
        <v>1788</v>
      </c>
      <c r="E784" s="11">
        <f>60500*1.07</f>
        <v>64735.000000000007</v>
      </c>
      <c r="F784" s="101" t="s">
        <v>1789</v>
      </c>
      <c r="G784" s="13" t="s">
        <v>1790</v>
      </c>
      <c r="H784" s="70">
        <v>1</v>
      </c>
    </row>
    <row r="785" spans="1:8" ht="27.75">
      <c r="A785" s="76"/>
      <c r="B785" s="71"/>
      <c r="C785" s="201"/>
      <c r="D785" s="169" t="s">
        <v>138</v>
      </c>
      <c r="E785" s="206"/>
      <c r="F785" s="75"/>
      <c r="G785" s="76"/>
      <c r="H785" s="76"/>
    </row>
    <row r="786" spans="1:8" ht="27.75">
      <c r="A786" s="70">
        <v>355</v>
      </c>
      <c r="B786" s="171" t="s">
        <v>1791</v>
      </c>
      <c r="C786" s="10" t="s">
        <v>1792</v>
      </c>
      <c r="D786" s="77" t="s">
        <v>1793</v>
      </c>
      <c r="E786" s="1">
        <f>84040*1.07</f>
        <v>89922.8</v>
      </c>
      <c r="F786" s="116" t="s">
        <v>1789</v>
      </c>
      <c r="G786" s="171" t="s">
        <v>1794</v>
      </c>
      <c r="H786" s="70">
        <v>1</v>
      </c>
    </row>
    <row r="787" spans="1:8" ht="27.75">
      <c r="A787" s="76"/>
      <c r="B787" s="84"/>
      <c r="C787" s="125"/>
      <c r="D787" s="167" t="s">
        <v>457</v>
      </c>
      <c r="E787" s="257"/>
      <c r="F787" s="84"/>
      <c r="G787" s="80"/>
      <c r="H787" s="76"/>
    </row>
    <row r="788" spans="1:8" ht="27.75">
      <c r="A788" s="70">
        <v>356</v>
      </c>
      <c r="B788" s="198" t="s">
        <v>1795</v>
      </c>
      <c r="C788" s="10" t="s">
        <v>1796</v>
      </c>
      <c r="D788" s="10" t="s">
        <v>1797</v>
      </c>
      <c r="E788" s="11">
        <f>5240*1.07</f>
        <v>5606.8</v>
      </c>
      <c r="F788" s="101" t="s">
        <v>1789</v>
      </c>
      <c r="G788" s="13" t="s">
        <v>1798</v>
      </c>
      <c r="H788" s="70">
        <v>1</v>
      </c>
    </row>
    <row r="789" spans="1:8" ht="27.75">
      <c r="A789" s="76"/>
      <c r="B789" s="71"/>
      <c r="C789" s="121"/>
      <c r="D789" s="169" t="s">
        <v>138</v>
      </c>
      <c r="E789" s="206"/>
      <c r="F789" s="75"/>
      <c r="G789" s="76"/>
      <c r="H789" s="76"/>
    </row>
    <row r="790" spans="1:8" ht="27.75">
      <c r="A790" s="70">
        <v>357</v>
      </c>
      <c r="B790" s="57" t="s">
        <v>54</v>
      </c>
      <c r="C790" s="4" t="s">
        <v>243</v>
      </c>
      <c r="D790" s="159" t="s">
        <v>1799</v>
      </c>
      <c r="E790" s="1">
        <f>6660*1.07</f>
        <v>7126.2000000000007</v>
      </c>
      <c r="F790" s="116" t="s">
        <v>1789</v>
      </c>
      <c r="G790" s="171" t="s">
        <v>1800</v>
      </c>
      <c r="H790" s="70">
        <v>1</v>
      </c>
    </row>
    <row r="791" spans="1:8" ht="27.75">
      <c r="A791" s="76"/>
      <c r="B791" s="84"/>
      <c r="C791" s="258"/>
      <c r="D791" s="167" t="s">
        <v>226</v>
      </c>
      <c r="E791" s="257"/>
      <c r="F791" s="84"/>
      <c r="G791" s="80"/>
      <c r="H791" s="80"/>
    </row>
    <row r="792" spans="1:8" ht="27.75">
      <c r="A792" s="70">
        <v>358</v>
      </c>
      <c r="B792" s="22" t="s">
        <v>1801</v>
      </c>
      <c r="C792" s="10" t="s">
        <v>1802</v>
      </c>
      <c r="D792" s="10" t="s">
        <v>1803</v>
      </c>
      <c r="E792" s="11">
        <f>7920*1.07</f>
        <v>8474.4</v>
      </c>
      <c r="F792" s="101" t="s">
        <v>1804</v>
      </c>
      <c r="G792" s="26" t="s">
        <v>1805</v>
      </c>
      <c r="H792" s="70">
        <v>1</v>
      </c>
    </row>
    <row r="793" spans="1:8" ht="27.75">
      <c r="A793" s="76"/>
      <c r="B793" s="76"/>
      <c r="C793" s="125"/>
      <c r="D793" s="17" t="s">
        <v>1806</v>
      </c>
      <c r="E793" s="206"/>
      <c r="F793" s="75"/>
      <c r="G793" s="76"/>
      <c r="H793" s="76"/>
    </row>
    <row r="794" spans="1:8" ht="27.75">
      <c r="A794" s="70">
        <v>359</v>
      </c>
      <c r="B794" s="190" t="s">
        <v>733</v>
      </c>
      <c r="C794" s="10" t="s">
        <v>734</v>
      </c>
      <c r="D794" s="10" t="s">
        <v>1807</v>
      </c>
      <c r="E794" s="11">
        <f>89400*1.07</f>
        <v>95658</v>
      </c>
      <c r="F794" s="101" t="s">
        <v>1804</v>
      </c>
      <c r="G794" s="26" t="s">
        <v>1808</v>
      </c>
      <c r="H794" s="70">
        <v>1</v>
      </c>
    </row>
    <row r="795" spans="1:8" ht="27.75">
      <c r="A795" s="76"/>
      <c r="B795" s="75"/>
      <c r="C795" s="121"/>
      <c r="D795" s="72"/>
      <c r="E795" s="206"/>
      <c r="F795" s="75"/>
      <c r="G795" s="76"/>
      <c r="H795" s="76"/>
    </row>
    <row r="796" spans="1:8" ht="27.75">
      <c r="A796" s="70">
        <v>360</v>
      </c>
      <c r="B796" s="36" t="s">
        <v>14</v>
      </c>
      <c r="C796" s="159" t="s">
        <v>62</v>
      </c>
      <c r="D796" s="159" t="s">
        <v>1809</v>
      </c>
      <c r="E796" s="1">
        <f>1080*1.07</f>
        <v>1155.6000000000001</v>
      </c>
      <c r="F796" s="116" t="s">
        <v>1804</v>
      </c>
      <c r="G796" s="171" t="s">
        <v>1810</v>
      </c>
      <c r="H796" s="70">
        <v>1</v>
      </c>
    </row>
    <row r="797" spans="1:8" ht="27.75">
      <c r="A797" s="76"/>
      <c r="B797" s="75"/>
      <c r="C797" s="121"/>
      <c r="D797" s="169" t="s">
        <v>138</v>
      </c>
      <c r="E797" s="206"/>
      <c r="F797" s="75"/>
      <c r="G797" s="76"/>
      <c r="H797" s="76"/>
    </row>
    <row r="798" spans="1:8" ht="27.75">
      <c r="A798" s="70">
        <v>361</v>
      </c>
      <c r="B798" s="22" t="s">
        <v>58</v>
      </c>
      <c r="C798" s="159" t="s">
        <v>270</v>
      </c>
      <c r="D798" s="159" t="s">
        <v>1811</v>
      </c>
      <c r="E798" s="1">
        <f>3400*1.07</f>
        <v>3638</v>
      </c>
      <c r="F798" s="116" t="s">
        <v>1804</v>
      </c>
      <c r="G798" s="171" t="s">
        <v>1812</v>
      </c>
      <c r="H798" s="70">
        <v>1</v>
      </c>
    </row>
    <row r="799" spans="1:8" ht="27.75">
      <c r="A799" s="76"/>
      <c r="B799" s="84"/>
      <c r="C799" s="125"/>
      <c r="D799" s="167" t="s">
        <v>138</v>
      </c>
      <c r="E799" s="257"/>
      <c r="F799" s="84"/>
      <c r="G799" s="80"/>
      <c r="H799" s="80"/>
    </row>
    <row r="800" spans="1:8" ht="27.75">
      <c r="A800" s="70">
        <v>362</v>
      </c>
      <c r="B800" s="37" t="s">
        <v>27</v>
      </c>
      <c r="C800" s="10" t="s">
        <v>28</v>
      </c>
      <c r="D800" s="10" t="s">
        <v>1813</v>
      </c>
      <c r="E800" s="11">
        <f>23900*1.07</f>
        <v>25573</v>
      </c>
      <c r="F800" s="101" t="s">
        <v>1804</v>
      </c>
      <c r="G800" s="13" t="s">
        <v>1814</v>
      </c>
      <c r="H800" s="70">
        <v>1</v>
      </c>
    </row>
    <row r="801" spans="1:8" ht="27.75">
      <c r="A801" s="76"/>
      <c r="B801" s="75"/>
      <c r="C801" s="121"/>
      <c r="D801" s="17" t="s">
        <v>1815</v>
      </c>
      <c r="E801" s="206"/>
      <c r="F801" s="75"/>
      <c r="G801" s="76"/>
      <c r="H801" s="76"/>
    </row>
    <row r="802" spans="1:8" ht="41.25" customHeight="1">
      <c r="A802" s="336" t="s">
        <v>561</v>
      </c>
      <c r="B802" s="338" t="s">
        <v>0</v>
      </c>
      <c r="C802" s="340" t="s">
        <v>1</v>
      </c>
      <c r="D802" s="341" t="s">
        <v>2</v>
      </c>
      <c r="E802" s="342" t="s">
        <v>3</v>
      </c>
      <c r="F802" s="344" t="s">
        <v>4</v>
      </c>
      <c r="G802" s="341"/>
      <c r="H802" s="336" t="s">
        <v>5</v>
      </c>
    </row>
    <row r="803" spans="1:8" ht="42" customHeight="1">
      <c r="A803" s="337"/>
      <c r="B803" s="339"/>
      <c r="C803" s="340"/>
      <c r="D803" s="341"/>
      <c r="E803" s="343"/>
      <c r="F803" s="284" t="s">
        <v>6</v>
      </c>
      <c r="G803" s="283" t="s">
        <v>7</v>
      </c>
      <c r="H803" s="337"/>
    </row>
    <row r="804" spans="1:8" ht="27.75">
      <c r="A804" s="70">
        <v>363</v>
      </c>
      <c r="B804" s="153" t="s">
        <v>567</v>
      </c>
      <c r="C804" s="159" t="s">
        <v>568</v>
      </c>
      <c r="D804" s="159" t="s">
        <v>1816</v>
      </c>
      <c r="E804" s="1">
        <f>37900*1.07</f>
        <v>40553</v>
      </c>
      <c r="F804" s="116" t="s">
        <v>1804</v>
      </c>
      <c r="G804" s="171" t="s">
        <v>1817</v>
      </c>
      <c r="H804" s="70">
        <v>1</v>
      </c>
    </row>
    <row r="805" spans="1:8" ht="27.75">
      <c r="A805" s="76"/>
      <c r="B805" s="84"/>
      <c r="C805" s="125"/>
      <c r="D805" s="77"/>
      <c r="E805" s="257"/>
      <c r="F805" s="84"/>
      <c r="G805" s="80"/>
      <c r="H805" s="76"/>
    </row>
    <row r="806" spans="1:8" ht="27.75">
      <c r="A806" s="70">
        <v>364</v>
      </c>
      <c r="B806" s="24" t="s">
        <v>384</v>
      </c>
      <c r="C806" s="10" t="s">
        <v>1818</v>
      </c>
      <c r="D806" s="180" t="s">
        <v>1819</v>
      </c>
      <c r="E806" s="151">
        <f>58100*1.07</f>
        <v>62167</v>
      </c>
      <c r="F806" s="101" t="s">
        <v>1820</v>
      </c>
      <c r="G806" s="13" t="s">
        <v>1821</v>
      </c>
      <c r="H806" s="70">
        <v>1</v>
      </c>
    </row>
    <row r="807" spans="1:8" ht="27.75">
      <c r="A807" s="76"/>
      <c r="B807" s="75"/>
      <c r="C807" s="121"/>
      <c r="D807" s="234" t="s">
        <v>138</v>
      </c>
      <c r="E807" s="74"/>
      <c r="F807" s="75"/>
      <c r="G807" s="76"/>
      <c r="H807" s="76"/>
    </row>
    <row r="808" spans="1:8" ht="27.75">
      <c r="A808" s="70">
        <v>365</v>
      </c>
      <c r="B808" s="162" t="s">
        <v>1822</v>
      </c>
      <c r="C808" s="10" t="s">
        <v>1823</v>
      </c>
      <c r="D808" s="4" t="s">
        <v>1824</v>
      </c>
      <c r="E808" s="151">
        <f>26400*1.07</f>
        <v>28248</v>
      </c>
      <c r="F808" s="101" t="s">
        <v>1825</v>
      </c>
      <c r="G808" s="171" t="s">
        <v>1826</v>
      </c>
      <c r="H808" s="70">
        <v>1</v>
      </c>
    </row>
    <row r="809" spans="1:8" ht="27.75">
      <c r="A809" s="76"/>
      <c r="B809" s="84"/>
      <c r="C809" s="125"/>
      <c r="D809" s="82"/>
      <c r="E809" s="83"/>
      <c r="F809" s="84"/>
      <c r="G809" s="80"/>
      <c r="H809" s="76"/>
    </row>
    <row r="810" spans="1:8" ht="27.75">
      <c r="A810" s="70">
        <v>366</v>
      </c>
      <c r="B810" s="22" t="s">
        <v>743</v>
      </c>
      <c r="C810" s="10" t="s">
        <v>744</v>
      </c>
      <c r="D810" s="152" t="s">
        <v>1827</v>
      </c>
      <c r="E810" s="151">
        <f>35800*1.07</f>
        <v>38306</v>
      </c>
      <c r="F810" s="101" t="s">
        <v>1825</v>
      </c>
      <c r="G810" s="26" t="s">
        <v>1828</v>
      </c>
      <c r="H810" s="70">
        <v>1</v>
      </c>
    </row>
    <row r="811" spans="1:8" ht="27.75">
      <c r="A811" s="76"/>
      <c r="B811" s="76"/>
      <c r="C811" s="121"/>
      <c r="D811" s="89"/>
      <c r="E811" s="74"/>
      <c r="F811" s="75"/>
      <c r="G811" s="76"/>
      <c r="H811" s="76"/>
    </row>
    <row r="812" spans="1:8" ht="27.75">
      <c r="A812" s="70">
        <v>367</v>
      </c>
      <c r="B812" s="22" t="s">
        <v>58</v>
      </c>
      <c r="C812" s="159" t="s">
        <v>1829</v>
      </c>
      <c r="D812" s="4" t="s">
        <v>1830</v>
      </c>
      <c r="E812" s="155">
        <f>9360*1.07</f>
        <v>10015.200000000001</v>
      </c>
      <c r="F812" s="101" t="s">
        <v>1825</v>
      </c>
      <c r="G812" s="171" t="s">
        <v>1831</v>
      </c>
      <c r="H812" s="70">
        <v>1</v>
      </c>
    </row>
    <row r="813" spans="1:8" ht="27.75">
      <c r="A813" s="76"/>
      <c r="B813" s="75"/>
      <c r="C813" s="121"/>
      <c r="D813" s="89" t="s">
        <v>636</v>
      </c>
      <c r="E813" s="74"/>
      <c r="F813" s="75"/>
      <c r="G813" s="76"/>
      <c r="H813" s="76"/>
    </row>
    <row r="814" spans="1:8" ht="27.75">
      <c r="A814" s="70">
        <v>368</v>
      </c>
      <c r="B814" s="162" t="s">
        <v>1832</v>
      </c>
      <c r="C814" s="159" t="s">
        <v>1833</v>
      </c>
      <c r="D814" s="4" t="s">
        <v>1834</v>
      </c>
      <c r="E814" s="155">
        <f>13600*1.07</f>
        <v>14552</v>
      </c>
      <c r="F814" s="101" t="s">
        <v>1825</v>
      </c>
      <c r="G814" s="171" t="s">
        <v>1835</v>
      </c>
      <c r="H814" s="70">
        <v>1</v>
      </c>
    </row>
    <row r="815" spans="1:8" ht="27.75">
      <c r="A815" s="76"/>
      <c r="B815" s="84"/>
      <c r="C815" s="125"/>
      <c r="D815" s="4" t="s">
        <v>1836</v>
      </c>
      <c r="E815" s="83"/>
      <c r="F815" s="84"/>
      <c r="G815" s="80"/>
      <c r="H815" s="76"/>
    </row>
    <row r="816" spans="1:8" ht="27.75">
      <c r="A816" s="70">
        <v>369</v>
      </c>
      <c r="B816" s="22" t="s">
        <v>1297</v>
      </c>
      <c r="C816" s="10" t="s">
        <v>1298</v>
      </c>
      <c r="D816" s="152" t="s">
        <v>1837</v>
      </c>
      <c r="E816" s="151">
        <f>64493*1.07</f>
        <v>69007.510000000009</v>
      </c>
      <c r="F816" s="101" t="s">
        <v>1825</v>
      </c>
      <c r="G816" s="13" t="s">
        <v>1838</v>
      </c>
      <c r="H816" s="70">
        <v>1</v>
      </c>
    </row>
    <row r="817" spans="1:8" ht="27.75">
      <c r="A817" s="76"/>
      <c r="B817" s="76"/>
      <c r="C817" s="121"/>
      <c r="D817" s="89" t="s">
        <v>543</v>
      </c>
      <c r="E817" s="74"/>
      <c r="F817" s="75"/>
      <c r="G817" s="76"/>
      <c r="H817" s="76"/>
    </row>
    <row r="818" spans="1:8" ht="27.75">
      <c r="A818" s="70">
        <v>370</v>
      </c>
      <c r="B818" s="131" t="s">
        <v>1297</v>
      </c>
      <c r="C818" s="159" t="s">
        <v>1298</v>
      </c>
      <c r="D818" s="4" t="s">
        <v>1839</v>
      </c>
      <c r="E818" s="155">
        <f>3960*1.07</f>
        <v>4237.2</v>
      </c>
      <c r="F818" s="101" t="s">
        <v>1825</v>
      </c>
      <c r="G818" s="171" t="s">
        <v>1840</v>
      </c>
      <c r="H818" s="70">
        <v>1</v>
      </c>
    </row>
    <row r="819" spans="1:8" ht="27.75">
      <c r="A819" s="76"/>
      <c r="B819" s="75"/>
      <c r="C819" s="76"/>
      <c r="D819" s="89"/>
      <c r="E819" s="74"/>
      <c r="F819" s="75"/>
      <c r="G819" s="76"/>
      <c r="H819" s="76"/>
    </row>
    <row r="820" spans="1:8" ht="27.75">
      <c r="A820" s="70">
        <v>371</v>
      </c>
      <c r="B820" s="24" t="s">
        <v>141</v>
      </c>
      <c r="C820" s="180" t="s">
        <v>340</v>
      </c>
      <c r="D820" s="10" t="s">
        <v>1841</v>
      </c>
      <c r="E820" s="11">
        <f>26850*1.07</f>
        <v>28729.5</v>
      </c>
      <c r="F820" s="101" t="s">
        <v>1842</v>
      </c>
      <c r="G820" s="26" t="s">
        <v>1843</v>
      </c>
      <c r="H820" s="70">
        <v>1</v>
      </c>
    </row>
    <row r="821" spans="1:8" ht="27.75">
      <c r="A821" s="76"/>
      <c r="B821" s="75"/>
      <c r="C821" s="71"/>
      <c r="D821" s="169" t="s">
        <v>226</v>
      </c>
      <c r="E821" s="206"/>
      <c r="F821" s="75"/>
      <c r="G821" s="76"/>
      <c r="H821" s="76"/>
    </row>
    <row r="822" spans="1:8" ht="27.75">
      <c r="A822" s="70">
        <v>372</v>
      </c>
      <c r="B822" s="24" t="s">
        <v>200</v>
      </c>
      <c r="C822" s="182" t="s">
        <v>201</v>
      </c>
      <c r="D822" s="159" t="s">
        <v>1844</v>
      </c>
      <c r="E822" s="183">
        <f>86400*1.07</f>
        <v>92448</v>
      </c>
      <c r="F822" s="101" t="s">
        <v>1842</v>
      </c>
      <c r="G822" s="298" t="s">
        <v>1845</v>
      </c>
      <c r="H822" s="70">
        <v>1</v>
      </c>
    </row>
    <row r="823" spans="1:8" ht="27.75">
      <c r="A823" s="76"/>
      <c r="B823" s="75"/>
      <c r="C823" s="71"/>
      <c r="D823" s="169"/>
      <c r="E823" s="206"/>
      <c r="F823" s="75"/>
      <c r="G823" s="76"/>
      <c r="H823" s="76"/>
    </row>
    <row r="824" spans="1:8" ht="27.75">
      <c r="A824" s="70">
        <v>373</v>
      </c>
      <c r="B824" s="162" t="s">
        <v>586</v>
      </c>
      <c r="C824" s="182" t="s">
        <v>1846</v>
      </c>
      <c r="D824" s="159" t="s">
        <v>1847</v>
      </c>
      <c r="E824" s="183">
        <f>23000*1.07</f>
        <v>24610</v>
      </c>
      <c r="F824" s="101" t="s">
        <v>1842</v>
      </c>
      <c r="G824" s="298" t="s">
        <v>1848</v>
      </c>
      <c r="H824" s="70">
        <v>1</v>
      </c>
    </row>
    <row r="825" spans="1:8" ht="27.75">
      <c r="A825" s="76"/>
      <c r="B825" s="84"/>
      <c r="C825" s="81"/>
      <c r="D825" s="167"/>
      <c r="E825" s="257"/>
      <c r="F825" s="84"/>
      <c r="G825" s="80"/>
      <c r="H825" s="76"/>
    </row>
    <row r="826" spans="1:8" ht="27.75">
      <c r="A826" s="70">
        <v>374</v>
      </c>
      <c r="B826" s="22" t="s">
        <v>1677</v>
      </c>
      <c r="C826" s="180" t="s">
        <v>1325</v>
      </c>
      <c r="D826" s="172" t="s">
        <v>1849</v>
      </c>
      <c r="E826" s="11">
        <f>60300*1.07</f>
        <v>64521.000000000007</v>
      </c>
      <c r="F826" s="101" t="s">
        <v>1842</v>
      </c>
      <c r="G826" s="13" t="s">
        <v>1850</v>
      </c>
      <c r="H826" s="70">
        <v>1</v>
      </c>
    </row>
    <row r="827" spans="1:8" ht="27.75">
      <c r="A827" s="76"/>
      <c r="B827" s="76"/>
      <c r="C827" s="71"/>
      <c r="D827" s="169" t="s">
        <v>457</v>
      </c>
      <c r="E827" s="206"/>
      <c r="F827" s="75"/>
      <c r="G827" s="76"/>
      <c r="H827" s="76"/>
    </row>
    <row r="828" spans="1:8" ht="27.75">
      <c r="A828" s="70">
        <v>375</v>
      </c>
      <c r="B828" s="133" t="s">
        <v>508</v>
      </c>
      <c r="C828" s="182" t="s">
        <v>1851</v>
      </c>
      <c r="D828" s="159" t="s">
        <v>1852</v>
      </c>
      <c r="E828" s="183">
        <f>53100*1.07</f>
        <v>56817</v>
      </c>
      <c r="F828" s="101" t="s">
        <v>1842</v>
      </c>
      <c r="G828" s="298" t="s">
        <v>1853</v>
      </c>
      <c r="H828" s="70">
        <v>1</v>
      </c>
    </row>
    <row r="829" spans="1:8" ht="27.75">
      <c r="A829" s="76"/>
      <c r="B829" s="84"/>
      <c r="C829" s="81"/>
      <c r="D829" s="167" t="s">
        <v>226</v>
      </c>
      <c r="E829" s="257"/>
      <c r="F829" s="84"/>
      <c r="G829" s="80"/>
      <c r="H829" s="76"/>
    </row>
    <row r="830" spans="1:8" ht="27.75">
      <c r="A830" s="70">
        <v>376</v>
      </c>
      <c r="B830" s="24" t="s">
        <v>141</v>
      </c>
      <c r="C830" s="180" t="s">
        <v>142</v>
      </c>
      <c r="D830" s="10" t="s">
        <v>1854</v>
      </c>
      <c r="E830" s="11">
        <f>86670*1.07</f>
        <v>92736.900000000009</v>
      </c>
      <c r="F830" s="101" t="s">
        <v>1842</v>
      </c>
      <c r="G830" s="13" t="s">
        <v>1855</v>
      </c>
      <c r="H830" s="70">
        <v>1</v>
      </c>
    </row>
    <row r="831" spans="1:8" ht="27.75">
      <c r="A831" s="76"/>
      <c r="B831" s="75"/>
      <c r="C831" s="71"/>
      <c r="D831" s="169" t="s">
        <v>138</v>
      </c>
      <c r="E831" s="206"/>
      <c r="F831" s="75"/>
      <c r="G831" s="76"/>
      <c r="H831" s="76"/>
    </row>
    <row r="832" spans="1:8" ht="27.75">
      <c r="A832" s="70">
        <v>377</v>
      </c>
      <c r="B832" s="110" t="s">
        <v>124</v>
      </c>
      <c r="C832" s="182" t="s">
        <v>776</v>
      </c>
      <c r="D832" s="159" t="s">
        <v>1856</v>
      </c>
      <c r="E832" s="183">
        <f>17900*1.07</f>
        <v>19153</v>
      </c>
      <c r="F832" s="101" t="s">
        <v>1842</v>
      </c>
      <c r="G832" s="298" t="s">
        <v>1857</v>
      </c>
      <c r="H832" s="70">
        <v>1</v>
      </c>
    </row>
    <row r="833" spans="1:8" ht="27.75">
      <c r="A833" s="76"/>
      <c r="B833" s="84"/>
      <c r="C833" s="81"/>
      <c r="D833" s="167"/>
      <c r="E833" s="257"/>
      <c r="F833" s="84"/>
      <c r="G833" s="80"/>
      <c r="H833" s="76"/>
    </row>
    <row r="834" spans="1:8" ht="27.75">
      <c r="A834" s="70">
        <v>378</v>
      </c>
      <c r="B834" s="24" t="s">
        <v>200</v>
      </c>
      <c r="C834" s="180" t="s">
        <v>201</v>
      </c>
      <c r="D834" s="10" t="s">
        <v>1858</v>
      </c>
      <c r="E834" s="11">
        <f>3800*1.07</f>
        <v>4066.0000000000005</v>
      </c>
      <c r="F834" s="101" t="s">
        <v>1842</v>
      </c>
      <c r="G834" s="13" t="s">
        <v>1859</v>
      </c>
      <c r="H834" s="70">
        <v>1</v>
      </c>
    </row>
    <row r="835" spans="1:8" ht="27.75">
      <c r="A835" s="76"/>
      <c r="B835" s="75"/>
      <c r="C835" s="71"/>
      <c r="D835" s="17" t="s">
        <v>1860</v>
      </c>
      <c r="E835" s="206"/>
      <c r="F835" s="75"/>
      <c r="G835" s="76"/>
      <c r="H835" s="76"/>
    </row>
    <row r="836" spans="1:8" s="43" customFormat="1" ht="27.75">
      <c r="A836" s="84"/>
      <c r="B836" s="84"/>
      <c r="C836" s="84"/>
      <c r="D836" s="2"/>
      <c r="E836" s="94"/>
      <c r="F836" s="84"/>
      <c r="G836" s="84"/>
      <c r="H836" s="84"/>
    </row>
    <row r="837" spans="1:8" ht="41.25" customHeight="1">
      <c r="A837" s="336" t="s">
        <v>561</v>
      </c>
      <c r="B837" s="338" t="s">
        <v>0</v>
      </c>
      <c r="C837" s="340" t="s">
        <v>1</v>
      </c>
      <c r="D837" s="341" t="s">
        <v>2</v>
      </c>
      <c r="E837" s="342" t="s">
        <v>3</v>
      </c>
      <c r="F837" s="341" t="s">
        <v>4</v>
      </c>
      <c r="G837" s="341"/>
      <c r="H837" s="336" t="s">
        <v>5</v>
      </c>
    </row>
    <row r="838" spans="1:8" ht="42" customHeight="1">
      <c r="A838" s="337"/>
      <c r="B838" s="339"/>
      <c r="C838" s="340"/>
      <c r="D838" s="341"/>
      <c r="E838" s="343"/>
      <c r="F838" s="284" t="s">
        <v>6</v>
      </c>
      <c r="G838" s="283" t="s">
        <v>7</v>
      </c>
      <c r="H838" s="337"/>
    </row>
    <row r="839" spans="1:8" ht="27.75">
      <c r="A839" s="70">
        <v>379</v>
      </c>
      <c r="B839" s="198" t="s">
        <v>1032</v>
      </c>
      <c r="C839" s="182" t="s">
        <v>1033</v>
      </c>
      <c r="D839" s="159" t="s">
        <v>1861</v>
      </c>
      <c r="E839" s="183">
        <f>3010*1.07</f>
        <v>3220.7000000000003</v>
      </c>
      <c r="F839" s="101" t="s">
        <v>1842</v>
      </c>
      <c r="G839" s="298" t="s">
        <v>1862</v>
      </c>
      <c r="H839" s="70">
        <v>1</v>
      </c>
    </row>
    <row r="840" spans="1:8" ht="27.75">
      <c r="A840" s="76"/>
      <c r="B840" s="84"/>
      <c r="C840" s="71"/>
      <c r="D840" s="169"/>
      <c r="E840" s="206"/>
      <c r="F840" s="75"/>
      <c r="G840" s="76"/>
      <c r="H840" s="76"/>
    </row>
    <row r="841" spans="1:8" ht="27.75">
      <c r="A841" s="70">
        <v>380</v>
      </c>
      <c r="B841" s="105" t="s">
        <v>100</v>
      </c>
      <c r="C841" s="66" t="s">
        <v>101</v>
      </c>
      <c r="D841" s="67" t="s">
        <v>1487</v>
      </c>
      <c r="E841" s="242">
        <v>1049135</v>
      </c>
      <c r="F841" s="101" t="s">
        <v>1842</v>
      </c>
      <c r="G841" s="70" t="s">
        <v>1902</v>
      </c>
      <c r="H841" s="70">
        <v>1</v>
      </c>
    </row>
    <row r="842" spans="1:8" ht="27.75">
      <c r="A842" s="76"/>
      <c r="B842" s="73"/>
      <c r="C842" s="72"/>
      <c r="D842" s="73"/>
      <c r="E842" s="239"/>
      <c r="F842" s="73"/>
      <c r="G842" s="76"/>
      <c r="H842" s="76"/>
    </row>
    <row r="843" spans="1:8" ht="27.75">
      <c r="A843" s="70">
        <v>381</v>
      </c>
      <c r="B843" s="264" t="s">
        <v>1908</v>
      </c>
      <c r="C843" s="66" t="s">
        <v>1909</v>
      </c>
      <c r="D843" s="67" t="s">
        <v>1910</v>
      </c>
      <c r="E843" s="242">
        <v>8467327.3000000007</v>
      </c>
      <c r="F843" s="101" t="s">
        <v>1842</v>
      </c>
      <c r="G843" s="70" t="s">
        <v>1911</v>
      </c>
      <c r="H843" s="70">
        <v>1</v>
      </c>
    </row>
    <row r="844" spans="1:8" ht="27.75">
      <c r="A844" s="76"/>
      <c r="B844" s="73"/>
      <c r="C844" s="72"/>
      <c r="D844" s="73"/>
      <c r="E844" s="239"/>
      <c r="F844" s="73"/>
      <c r="G844" s="76"/>
      <c r="H844" s="72"/>
    </row>
    <row r="845" spans="1:8" ht="28.5" thickBot="1">
      <c r="E845" s="300">
        <f>SUM(E7:E844)</f>
        <v>50175442.248300016</v>
      </c>
    </row>
    <row r="846" spans="1:8" ht="24" thickTop="1"/>
  </sheetData>
  <mergeCells count="176">
    <mergeCell ref="A419:A420"/>
    <mergeCell ref="B419:B420"/>
    <mergeCell ref="C419:C420"/>
    <mergeCell ref="D419:D420"/>
    <mergeCell ref="E419:E420"/>
    <mergeCell ref="F419:G419"/>
    <mergeCell ref="H419:H420"/>
    <mergeCell ref="A350:A351"/>
    <mergeCell ref="B350:B351"/>
    <mergeCell ref="C350:C351"/>
    <mergeCell ref="D350:D351"/>
    <mergeCell ref="E350:E351"/>
    <mergeCell ref="F350:G350"/>
    <mergeCell ref="H350:H351"/>
    <mergeCell ref="A385:A386"/>
    <mergeCell ref="B385:B386"/>
    <mergeCell ref="C385:C386"/>
    <mergeCell ref="D385:D386"/>
    <mergeCell ref="E385:E386"/>
    <mergeCell ref="F385:G385"/>
    <mergeCell ref="H385:H386"/>
    <mergeCell ref="A280:A281"/>
    <mergeCell ref="B280:B281"/>
    <mergeCell ref="C280:C281"/>
    <mergeCell ref="D280:D281"/>
    <mergeCell ref="E280:E281"/>
    <mergeCell ref="F280:G280"/>
    <mergeCell ref="H280:H281"/>
    <mergeCell ref="A315:A316"/>
    <mergeCell ref="B315:B316"/>
    <mergeCell ref="C315:C316"/>
    <mergeCell ref="D315:D316"/>
    <mergeCell ref="E315:E316"/>
    <mergeCell ref="F315:G315"/>
    <mergeCell ref="H315:H316"/>
    <mergeCell ref="A245:A246"/>
    <mergeCell ref="B245:B246"/>
    <mergeCell ref="C245:C246"/>
    <mergeCell ref="D245:D246"/>
    <mergeCell ref="E245:E246"/>
    <mergeCell ref="F245:G245"/>
    <mergeCell ref="H245:H246"/>
    <mergeCell ref="A175:A176"/>
    <mergeCell ref="B175:B176"/>
    <mergeCell ref="C175:C176"/>
    <mergeCell ref="D175:D176"/>
    <mergeCell ref="E175:E176"/>
    <mergeCell ref="F175:G175"/>
    <mergeCell ref="H175:H176"/>
    <mergeCell ref="A210:A211"/>
    <mergeCell ref="B210:B211"/>
    <mergeCell ref="C210:C211"/>
    <mergeCell ref="D210:D211"/>
    <mergeCell ref="E210:E211"/>
    <mergeCell ref="F210:G210"/>
    <mergeCell ref="H210:H211"/>
    <mergeCell ref="C140:C141"/>
    <mergeCell ref="D140:D141"/>
    <mergeCell ref="E140:E141"/>
    <mergeCell ref="F140:G140"/>
    <mergeCell ref="H140:H141"/>
    <mergeCell ref="B70:B71"/>
    <mergeCell ref="E70:E71"/>
    <mergeCell ref="F70:G70"/>
    <mergeCell ref="H70:H71"/>
    <mergeCell ref="C70:C71"/>
    <mergeCell ref="D70:D71"/>
    <mergeCell ref="H4:H5"/>
    <mergeCell ref="A6:B6"/>
    <mergeCell ref="A4:A5"/>
    <mergeCell ref="B4:B5"/>
    <mergeCell ref="C4:C5"/>
    <mergeCell ref="D4:D5"/>
    <mergeCell ref="E4:E5"/>
    <mergeCell ref="F4:G4"/>
    <mergeCell ref="A35:A36"/>
    <mergeCell ref="B35:B36"/>
    <mergeCell ref="C35:C36"/>
    <mergeCell ref="D35:D36"/>
    <mergeCell ref="E35:E36"/>
    <mergeCell ref="F35:G35"/>
    <mergeCell ref="H35:H36"/>
    <mergeCell ref="A70:A71"/>
    <mergeCell ref="A454:A455"/>
    <mergeCell ref="B454:B455"/>
    <mergeCell ref="C454:C455"/>
    <mergeCell ref="D454:D455"/>
    <mergeCell ref="E454:E455"/>
    <mergeCell ref="F454:G454"/>
    <mergeCell ref="H454:H455"/>
    <mergeCell ref="A489:A490"/>
    <mergeCell ref="B489:B490"/>
    <mergeCell ref="C489:C490"/>
    <mergeCell ref="D489:D490"/>
    <mergeCell ref="E489:E490"/>
    <mergeCell ref="F489:G489"/>
    <mergeCell ref="H489:H490"/>
    <mergeCell ref="A105:A106"/>
    <mergeCell ref="B105:B106"/>
    <mergeCell ref="C105:C106"/>
    <mergeCell ref="D105:D106"/>
    <mergeCell ref="E105:E106"/>
    <mergeCell ref="F105:G105"/>
    <mergeCell ref="H105:H106"/>
    <mergeCell ref="A140:A141"/>
    <mergeCell ref="B140:B141"/>
    <mergeCell ref="A594:A595"/>
    <mergeCell ref="B594:B595"/>
    <mergeCell ref="C594:C595"/>
    <mergeCell ref="D594:D595"/>
    <mergeCell ref="E594:E595"/>
    <mergeCell ref="F594:G594"/>
    <mergeCell ref="H594:H595"/>
    <mergeCell ref="D629:D630"/>
    <mergeCell ref="E629:E630"/>
    <mergeCell ref="F629:G629"/>
    <mergeCell ref="H629:H630"/>
    <mergeCell ref="A664:A665"/>
    <mergeCell ref="B664:B665"/>
    <mergeCell ref="C664:C665"/>
    <mergeCell ref="D664:D665"/>
    <mergeCell ref="E664:E665"/>
    <mergeCell ref="F664:G664"/>
    <mergeCell ref="H664:H665"/>
    <mergeCell ref="A524:A525"/>
    <mergeCell ref="B524:B525"/>
    <mergeCell ref="C524:C525"/>
    <mergeCell ref="D524:D525"/>
    <mergeCell ref="E524:E525"/>
    <mergeCell ref="F524:G524"/>
    <mergeCell ref="H524:H525"/>
    <mergeCell ref="A559:A560"/>
    <mergeCell ref="B559:B560"/>
    <mergeCell ref="C559:C560"/>
    <mergeCell ref="D559:D560"/>
    <mergeCell ref="E559:E560"/>
    <mergeCell ref="F559:G559"/>
    <mergeCell ref="H559:H560"/>
    <mergeCell ref="A629:A630"/>
    <mergeCell ref="B629:B630"/>
    <mergeCell ref="C629:C630"/>
    <mergeCell ref="A699:A700"/>
    <mergeCell ref="B699:B700"/>
    <mergeCell ref="C699:C700"/>
    <mergeCell ref="D699:D700"/>
    <mergeCell ref="E699:E700"/>
    <mergeCell ref="F699:G699"/>
    <mergeCell ref="H699:H700"/>
    <mergeCell ref="A734:A735"/>
    <mergeCell ref="B734:B735"/>
    <mergeCell ref="C734:C735"/>
    <mergeCell ref="D734:D735"/>
    <mergeCell ref="E734:E735"/>
    <mergeCell ref="F734:G734"/>
    <mergeCell ref="H734:H735"/>
    <mergeCell ref="H768:H769"/>
    <mergeCell ref="A802:A803"/>
    <mergeCell ref="B802:B803"/>
    <mergeCell ref="C802:C803"/>
    <mergeCell ref="D802:D803"/>
    <mergeCell ref="E802:E803"/>
    <mergeCell ref="F802:G802"/>
    <mergeCell ref="H802:H803"/>
    <mergeCell ref="A837:A838"/>
    <mergeCell ref="B837:B838"/>
    <mergeCell ref="C837:C838"/>
    <mergeCell ref="D837:D838"/>
    <mergeCell ref="E837:E838"/>
    <mergeCell ref="F837:G837"/>
    <mergeCell ref="H837:H838"/>
    <mergeCell ref="A768:A769"/>
    <mergeCell ref="B768:B769"/>
    <mergeCell ref="C768:C769"/>
    <mergeCell ref="D768:D769"/>
    <mergeCell ref="E768:E769"/>
    <mergeCell ref="F768:G768"/>
  </mergeCells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3"/>
  <sheetViews>
    <sheetView tabSelected="1" topLeftCell="A568" workbookViewId="0">
      <selection activeCell="C583" sqref="C583"/>
    </sheetView>
  </sheetViews>
  <sheetFormatPr defaultColWidth="9" defaultRowHeight="27.75"/>
  <cols>
    <col min="1" max="1" width="8.42578125" style="160" customWidth="1"/>
    <col min="2" max="2" width="22" style="160" customWidth="1"/>
    <col min="3" max="3" width="53.140625" style="150" customWidth="1"/>
    <col min="4" max="4" width="99.85546875" style="150" customWidth="1"/>
    <col min="5" max="5" width="16.85546875" style="303" customWidth="1"/>
    <col min="6" max="6" width="19.5703125" style="160" customWidth="1"/>
    <col min="7" max="7" width="18.7109375" style="160" customWidth="1"/>
    <col min="8" max="8" width="10.28515625" style="160" customWidth="1"/>
    <col min="9" max="11" width="9" style="150"/>
    <col min="12" max="12" width="18.42578125" style="150" customWidth="1"/>
    <col min="13" max="16384" width="9" style="150"/>
  </cols>
  <sheetData>
    <row r="1" spans="1:11" s="144" customFormat="1" ht="33">
      <c r="A1" s="142"/>
      <c r="B1" s="213" t="s">
        <v>890</v>
      </c>
      <c r="C1" s="213"/>
      <c r="D1" s="213"/>
      <c r="E1" s="213"/>
      <c r="F1" s="213"/>
      <c r="G1" s="213"/>
      <c r="H1" s="213"/>
      <c r="I1" s="143"/>
    </row>
    <row r="2" spans="1:11" s="144" customFormat="1" ht="33">
      <c r="A2" s="145"/>
      <c r="B2" s="214" t="s">
        <v>2110</v>
      </c>
      <c r="C2" s="214"/>
      <c r="D2" s="214"/>
      <c r="E2" s="214"/>
      <c r="F2" s="214"/>
      <c r="G2" s="214"/>
      <c r="H2" s="214"/>
      <c r="I2" s="146"/>
    </row>
    <row r="3" spans="1:11" s="144" customFormat="1" ht="33">
      <c r="A3" s="145"/>
      <c r="B3" s="215" t="s">
        <v>892</v>
      </c>
      <c r="C3" s="215"/>
      <c r="D3" s="215"/>
      <c r="E3" s="215"/>
      <c r="F3" s="215"/>
      <c r="G3" s="215"/>
      <c r="H3" s="215"/>
      <c r="I3" s="147"/>
    </row>
    <row r="4" spans="1:11">
      <c r="A4" s="336" t="s">
        <v>561</v>
      </c>
      <c r="B4" s="338" t="s">
        <v>0</v>
      </c>
      <c r="C4" s="341" t="s">
        <v>1</v>
      </c>
      <c r="D4" s="351" t="s">
        <v>2</v>
      </c>
      <c r="E4" s="336" t="s">
        <v>3</v>
      </c>
      <c r="F4" s="340" t="s">
        <v>4</v>
      </c>
      <c r="G4" s="344"/>
      <c r="H4" s="336" t="s">
        <v>5</v>
      </c>
    </row>
    <row r="5" spans="1:11" ht="53.25" customHeight="1">
      <c r="A5" s="337"/>
      <c r="B5" s="339"/>
      <c r="C5" s="341"/>
      <c r="D5" s="351"/>
      <c r="E5" s="337"/>
      <c r="F5" s="302" t="s">
        <v>6</v>
      </c>
      <c r="G5" s="301" t="s">
        <v>7</v>
      </c>
      <c r="H5" s="337"/>
    </row>
    <row r="6" spans="1:11">
      <c r="A6" s="70">
        <v>1</v>
      </c>
      <c r="B6" s="22" t="s">
        <v>512</v>
      </c>
      <c r="C6" s="4" t="s">
        <v>1914</v>
      </c>
      <c r="D6" s="10" t="s">
        <v>1915</v>
      </c>
      <c r="E6" s="1">
        <f>80400*1.07</f>
        <v>86028</v>
      </c>
      <c r="F6" s="101" t="s">
        <v>1916</v>
      </c>
      <c r="G6" s="171" t="s">
        <v>1917</v>
      </c>
      <c r="H6" s="70">
        <v>1</v>
      </c>
    </row>
    <row r="7" spans="1:11">
      <c r="A7" s="76"/>
      <c r="B7" s="76"/>
      <c r="C7" s="73"/>
      <c r="D7" s="169" t="s">
        <v>226</v>
      </c>
      <c r="E7" s="206"/>
      <c r="F7" s="76"/>
      <c r="G7" s="170"/>
      <c r="H7" s="76"/>
    </row>
    <row r="8" spans="1:11">
      <c r="A8" s="70">
        <v>2</v>
      </c>
      <c r="B8" s="131" t="s">
        <v>1723</v>
      </c>
      <c r="C8" s="4" t="s">
        <v>1724</v>
      </c>
      <c r="D8" s="159" t="s">
        <v>1918</v>
      </c>
      <c r="E8" s="1">
        <f>88785.05*1.07</f>
        <v>95000.003500000006</v>
      </c>
      <c r="F8" s="101" t="s">
        <v>1916</v>
      </c>
      <c r="G8" s="171" t="s">
        <v>1919</v>
      </c>
      <c r="H8" s="80">
        <v>1</v>
      </c>
      <c r="J8" s="94"/>
    </row>
    <row r="9" spans="1:11">
      <c r="A9" s="76"/>
      <c r="B9" s="76"/>
      <c r="C9" s="73"/>
      <c r="D9" s="169"/>
      <c r="E9" s="206"/>
      <c r="F9" s="76"/>
      <c r="G9" s="170"/>
      <c r="H9" s="80"/>
      <c r="J9" s="303"/>
      <c r="K9" s="150" t="s">
        <v>1550</v>
      </c>
    </row>
    <row r="10" spans="1:11">
      <c r="A10" s="70">
        <v>3</v>
      </c>
      <c r="B10" s="37" t="s">
        <v>27</v>
      </c>
      <c r="C10" s="4" t="s">
        <v>28</v>
      </c>
      <c r="D10" s="186" t="s">
        <v>1920</v>
      </c>
      <c r="E10" s="1">
        <f>88740*1.07</f>
        <v>94951.8</v>
      </c>
      <c r="F10" s="101" t="s">
        <v>1916</v>
      </c>
      <c r="G10" s="171" t="s">
        <v>1921</v>
      </c>
      <c r="H10" s="70">
        <v>1</v>
      </c>
    </row>
    <row r="11" spans="1:11">
      <c r="A11" s="76"/>
      <c r="B11" s="178"/>
      <c r="C11" s="115"/>
      <c r="D11" s="169" t="s">
        <v>636</v>
      </c>
      <c r="E11" s="292"/>
      <c r="F11" s="76"/>
      <c r="G11" s="170"/>
      <c r="H11" s="76"/>
    </row>
    <row r="12" spans="1:11">
      <c r="A12" s="70">
        <v>4</v>
      </c>
      <c r="B12" s="24" t="s">
        <v>158</v>
      </c>
      <c r="C12" s="4" t="s">
        <v>159</v>
      </c>
      <c r="D12" s="159" t="s">
        <v>1922</v>
      </c>
      <c r="E12" s="1">
        <f>25760*1.07</f>
        <v>27563.200000000001</v>
      </c>
      <c r="F12" s="101" t="s">
        <v>1916</v>
      </c>
      <c r="G12" s="171" t="s">
        <v>1923</v>
      </c>
      <c r="H12" s="70">
        <v>1</v>
      </c>
    </row>
    <row r="13" spans="1:11">
      <c r="A13" s="76"/>
      <c r="B13" s="76"/>
      <c r="C13" s="115"/>
      <c r="D13" s="169"/>
      <c r="E13" s="206"/>
      <c r="F13" s="76"/>
      <c r="G13" s="170"/>
      <c r="H13" s="76"/>
    </row>
    <row r="14" spans="1:11">
      <c r="A14" s="70">
        <v>5</v>
      </c>
      <c r="B14" s="24" t="s">
        <v>183</v>
      </c>
      <c r="C14" s="152" t="s">
        <v>184</v>
      </c>
      <c r="D14" s="10" t="s">
        <v>1924</v>
      </c>
      <c r="E14" s="152">
        <f>855*1.07</f>
        <v>914.85</v>
      </c>
      <c r="F14" s="101" t="s">
        <v>1916</v>
      </c>
      <c r="G14" s="13" t="s">
        <v>1925</v>
      </c>
      <c r="H14" s="80">
        <v>1</v>
      </c>
    </row>
    <row r="15" spans="1:11">
      <c r="A15" s="76"/>
      <c r="B15" s="76"/>
      <c r="C15" s="115"/>
      <c r="D15" s="72"/>
      <c r="E15" s="206"/>
      <c r="F15" s="76"/>
      <c r="G15" s="170"/>
      <c r="H15" s="80"/>
    </row>
    <row r="16" spans="1:11">
      <c r="A16" s="70">
        <v>6</v>
      </c>
      <c r="B16" s="24" t="s">
        <v>158</v>
      </c>
      <c r="C16" s="4" t="s">
        <v>159</v>
      </c>
      <c r="D16" s="159" t="s">
        <v>1926</v>
      </c>
      <c r="E16" s="1">
        <f>25500*1.07</f>
        <v>27285</v>
      </c>
      <c r="F16" s="116" t="s">
        <v>1916</v>
      </c>
      <c r="G16" s="171" t="s">
        <v>1927</v>
      </c>
      <c r="H16" s="70">
        <v>1</v>
      </c>
    </row>
    <row r="17" spans="1:17">
      <c r="A17" s="76"/>
      <c r="B17" s="76"/>
      <c r="C17" s="115"/>
      <c r="D17" s="169"/>
      <c r="E17" s="206"/>
      <c r="F17" s="76"/>
      <c r="G17" s="170"/>
      <c r="H17" s="76"/>
    </row>
    <row r="18" spans="1:17">
      <c r="A18" s="70">
        <v>7</v>
      </c>
      <c r="B18" s="24" t="s">
        <v>158</v>
      </c>
      <c r="C18" s="4" t="s">
        <v>637</v>
      </c>
      <c r="D18" s="186" t="s">
        <v>1928</v>
      </c>
      <c r="E18" s="1">
        <f>13600*1.07</f>
        <v>14552</v>
      </c>
      <c r="F18" s="101" t="s">
        <v>1916</v>
      </c>
      <c r="G18" s="171" t="s">
        <v>1766</v>
      </c>
      <c r="H18" s="70">
        <v>1</v>
      </c>
    </row>
    <row r="19" spans="1:17">
      <c r="A19" s="76"/>
      <c r="B19" s="76"/>
      <c r="C19" s="115"/>
      <c r="D19" s="169"/>
      <c r="E19" s="206"/>
      <c r="F19" s="76"/>
      <c r="G19" s="170"/>
      <c r="H19" s="76"/>
      <c r="I19" s="150" t="s">
        <v>1550</v>
      </c>
    </row>
    <row r="20" spans="1:17">
      <c r="A20" s="70">
        <v>8</v>
      </c>
      <c r="B20" s="24" t="s">
        <v>158</v>
      </c>
      <c r="C20" s="4" t="s">
        <v>159</v>
      </c>
      <c r="D20" s="159" t="s">
        <v>1929</v>
      </c>
      <c r="E20" s="1">
        <f>28158*1.07</f>
        <v>30129.06</v>
      </c>
      <c r="F20" s="101" t="s">
        <v>1916</v>
      </c>
      <c r="G20" s="171" t="s">
        <v>1930</v>
      </c>
      <c r="H20" s="80">
        <v>1</v>
      </c>
    </row>
    <row r="21" spans="1:17" ht="27" customHeight="1">
      <c r="A21" s="76"/>
      <c r="B21" s="76"/>
      <c r="C21" s="115"/>
      <c r="D21" s="169" t="s">
        <v>457</v>
      </c>
      <c r="E21" s="206"/>
      <c r="F21" s="76"/>
      <c r="G21" s="170"/>
      <c r="H21" s="80"/>
    </row>
    <row r="22" spans="1:17">
      <c r="A22" s="70">
        <v>9</v>
      </c>
      <c r="B22" s="28" t="s">
        <v>9</v>
      </c>
      <c r="C22" s="10" t="s">
        <v>50</v>
      </c>
      <c r="D22" s="152" t="s">
        <v>2108</v>
      </c>
      <c r="E22" s="151">
        <v>133750</v>
      </c>
      <c r="F22" s="101" t="s">
        <v>1916</v>
      </c>
      <c r="G22" s="298" t="s">
        <v>2109</v>
      </c>
      <c r="H22" s="70">
        <v>1</v>
      </c>
    </row>
    <row r="23" spans="1:17">
      <c r="A23" s="76"/>
      <c r="B23" s="71"/>
      <c r="C23" s="17"/>
      <c r="D23" s="89"/>
      <c r="E23" s="295"/>
      <c r="F23" s="76"/>
      <c r="G23" s="170"/>
      <c r="H23" s="76"/>
    </row>
    <row r="24" spans="1:17">
      <c r="A24" s="70">
        <v>10</v>
      </c>
      <c r="B24" s="105" t="s">
        <v>100</v>
      </c>
      <c r="C24" s="152" t="s">
        <v>101</v>
      </c>
      <c r="D24" s="10" t="s">
        <v>1931</v>
      </c>
      <c r="E24" s="11">
        <f>80000*1.07</f>
        <v>85600</v>
      </c>
      <c r="F24" s="101" t="s">
        <v>1932</v>
      </c>
      <c r="G24" s="26" t="s">
        <v>1933</v>
      </c>
      <c r="H24" s="70">
        <v>1</v>
      </c>
      <c r="Q24" s="78"/>
    </row>
    <row r="25" spans="1:17">
      <c r="A25" s="76"/>
      <c r="B25" s="76"/>
      <c r="C25" s="230"/>
      <c r="D25" s="72"/>
      <c r="E25" s="206"/>
      <c r="F25" s="76"/>
      <c r="G25" s="170"/>
      <c r="H25" s="76"/>
    </row>
    <row r="26" spans="1:17">
      <c r="A26" s="70">
        <v>11</v>
      </c>
      <c r="B26" s="119" t="s">
        <v>124</v>
      </c>
      <c r="C26" s="4" t="s">
        <v>290</v>
      </c>
      <c r="D26" s="159" t="s">
        <v>1934</v>
      </c>
      <c r="E26" s="1">
        <f>44020*1.07</f>
        <v>47101.4</v>
      </c>
      <c r="F26" s="116" t="s">
        <v>1932</v>
      </c>
      <c r="G26" s="171" t="s">
        <v>1935</v>
      </c>
      <c r="H26" s="80">
        <v>1</v>
      </c>
    </row>
    <row r="27" spans="1:17" ht="22.5" customHeight="1">
      <c r="A27" s="76"/>
      <c r="B27" s="178"/>
      <c r="C27" s="115"/>
      <c r="D27" s="169" t="s">
        <v>138</v>
      </c>
      <c r="E27" s="292"/>
      <c r="F27" s="178"/>
      <c r="G27" s="170"/>
      <c r="H27" s="80"/>
    </row>
    <row r="28" spans="1:17">
      <c r="A28" s="70">
        <v>12</v>
      </c>
      <c r="B28" s="28" t="s">
        <v>9</v>
      </c>
      <c r="C28" s="4" t="s">
        <v>50</v>
      </c>
      <c r="D28" s="159" t="s">
        <v>1936</v>
      </c>
      <c r="E28" s="1">
        <f>1900*1.07</f>
        <v>2033.0000000000002</v>
      </c>
      <c r="F28" s="101" t="s">
        <v>1932</v>
      </c>
      <c r="G28" s="171" t="s">
        <v>1937</v>
      </c>
      <c r="H28" s="70">
        <v>1</v>
      </c>
    </row>
    <row r="29" spans="1:17">
      <c r="A29" s="76"/>
      <c r="B29" s="76"/>
      <c r="C29" s="115"/>
      <c r="D29" s="169" t="s">
        <v>138</v>
      </c>
      <c r="E29" s="206"/>
      <c r="F29" s="76"/>
      <c r="G29" s="170" t="s">
        <v>1938</v>
      </c>
      <c r="H29" s="76"/>
    </row>
    <row r="30" spans="1:17">
      <c r="A30" s="70">
        <v>13</v>
      </c>
      <c r="B30" s="22" t="s">
        <v>397</v>
      </c>
      <c r="C30" s="4" t="s">
        <v>398</v>
      </c>
      <c r="D30" s="159" t="s">
        <v>1939</v>
      </c>
      <c r="E30" s="1">
        <f>17380*1.07</f>
        <v>18596.600000000002</v>
      </c>
      <c r="F30" s="101" t="s">
        <v>1932</v>
      </c>
      <c r="G30" s="171" t="s">
        <v>1940</v>
      </c>
      <c r="H30" s="80">
        <v>1</v>
      </c>
    </row>
    <row r="31" spans="1:17">
      <c r="A31" s="76"/>
      <c r="B31" s="76"/>
      <c r="C31" s="73"/>
      <c r="D31" s="169"/>
      <c r="E31" s="206"/>
      <c r="F31" s="76"/>
      <c r="G31" s="170"/>
      <c r="H31" s="76"/>
    </row>
    <row r="32" spans="1:17">
      <c r="A32" s="70">
        <v>14</v>
      </c>
      <c r="B32" s="134" t="s">
        <v>1439</v>
      </c>
      <c r="C32" s="154" t="s">
        <v>163</v>
      </c>
      <c r="D32" s="10" t="s">
        <v>1941</v>
      </c>
      <c r="E32" s="11">
        <f>19000*1.07</f>
        <v>20330</v>
      </c>
      <c r="F32" s="101" t="s">
        <v>1932</v>
      </c>
      <c r="G32" s="26" t="s">
        <v>1942</v>
      </c>
      <c r="H32" s="70">
        <v>1</v>
      </c>
    </row>
    <row r="33" spans="1:9">
      <c r="A33" s="76"/>
      <c r="B33" s="76"/>
      <c r="C33" s="93"/>
      <c r="D33" s="169"/>
      <c r="E33" s="206"/>
      <c r="F33" s="76"/>
      <c r="G33" s="170"/>
      <c r="H33" s="76"/>
    </row>
    <row r="34" spans="1:9" s="78" customFormat="1">
      <c r="A34" s="84"/>
      <c r="B34" s="84"/>
      <c r="D34" s="82"/>
      <c r="E34" s="94"/>
      <c r="F34" s="84"/>
      <c r="G34" s="84"/>
      <c r="H34" s="84"/>
    </row>
    <row r="35" spans="1:9">
      <c r="A35" s="336" t="s">
        <v>561</v>
      </c>
      <c r="B35" s="338" t="s">
        <v>0</v>
      </c>
      <c r="C35" s="341" t="s">
        <v>1</v>
      </c>
      <c r="D35" s="351" t="s">
        <v>2</v>
      </c>
      <c r="E35" s="336" t="s">
        <v>3</v>
      </c>
      <c r="F35" s="344" t="s">
        <v>4</v>
      </c>
      <c r="G35" s="341"/>
      <c r="H35" s="336" t="s">
        <v>5</v>
      </c>
      <c r="I35" s="78"/>
    </row>
    <row r="36" spans="1:9" s="78" customFormat="1" ht="54" customHeight="1">
      <c r="A36" s="337"/>
      <c r="B36" s="339"/>
      <c r="C36" s="341"/>
      <c r="D36" s="351"/>
      <c r="E36" s="337"/>
      <c r="F36" s="302" t="s">
        <v>6</v>
      </c>
      <c r="G36" s="301" t="s">
        <v>7</v>
      </c>
      <c r="H36" s="337"/>
      <c r="I36" s="150"/>
    </row>
    <row r="37" spans="1:9">
      <c r="A37" s="70">
        <v>15</v>
      </c>
      <c r="B37" s="22" t="s">
        <v>1943</v>
      </c>
      <c r="C37" s="152" t="s">
        <v>1944</v>
      </c>
      <c r="D37" s="10" t="s">
        <v>1945</v>
      </c>
      <c r="E37" s="11">
        <f>60500*1.07</f>
        <v>64735.000000000007</v>
      </c>
      <c r="F37" s="101" t="s">
        <v>1946</v>
      </c>
      <c r="G37" s="13" t="s">
        <v>1947</v>
      </c>
      <c r="H37" s="70">
        <v>1</v>
      </c>
    </row>
    <row r="38" spans="1:9">
      <c r="A38" s="76"/>
      <c r="B38" s="76"/>
      <c r="C38" s="18" t="s">
        <v>44</v>
      </c>
      <c r="D38" s="169" t="s">
        <v>138</v>
      </c>
      <c r="E38" s="206"/>
      <c r="F38" s="76"/>
      <c r="G38" s="170"/>
      <c r="H38" s="76"/>
    </row>
    <row r="39" spans="1:9">
      <c r="A39" s="70">
        <v>16</v>
      </c>
      <c r="B39" s="131" t="s">
        <v>1269</v>
      </c>
      <c r="C39" s="4" t="s">
        <v>1270</v>
      </c>
      <c r="D39" s="159" t="s">
        <v>1948</v>
      </c>
      <c r="E39" s="1">
        <f>26100*1.07</f>
        <v>27927</v>
      </c>
      <c r="F39" s="101" t="s">
        <v>1946</v>
      </c>
      <c r="G39" s="171" t="s">
        <v>1949</v>
      </c>
      <c r="H39" s="70">
        <v>1</v>
      </c>
    </row>
    <row r="40" spans="1:9">
      <c r="A40" s="76"/>
      <c r="B40" s="76"/>
      <c r="C40" s="73"/>
      <c r="D40" s="169" t="s">
        <v>19</v>
      </c>
      <c r="E40" s="206"/>
      <c r="F40" s="76"/>
      <c r="G40" s="170"/>
      <c r="H40" s="76"/>
    </row>
    <row r="41" spans="1:9">
      <c r="A41" s="70">
        <v>17</v>
      </c>
      <c r="B41" s="162" t="s">
        <v>1950</v>
      </c>
      <c r="C41" s="10" t="s">
        <v>1951</v>
      </c>
      <c r="D41" s="10" t="s">
        <v>1952</v>
      </c>
      <c r="E41" s="1">
        <f>49680*1.07</f>
        <v>53157.600000000006</v>
      </c>
      <c r="F41" s="101" t="s">
        <v>1946</v>
      </c>
      <c r="G41" s="171" t="s">
        <v>1953</v>
      </c>
      <c r="H41" s="80">
        <v>1</v>
      </c>
    </row>
    <row r="42" spans="1:9">
      <c r="A42" s="76"/>
      <c r="B42" s="71"/>
      <c r="C42" s="72"/>
      <c r="D42" s="169" t="s">
        <v>138</v>
      </c>
      <c r="E42" s="292"/>
      <c r="F42" s="76"/>
      <c r="G42" s="170"/>
      <c r="H42" s="76"/>
    </row>
    <row r="43" spans="1:9">
      <c r="A43" s="70">
        <v>18</v>
      </c>
      <c r="B43" s="24" t="s">
        <v>141</v>
      </c>
      <c r="C43" s="159" t="s">
        <v>142</v>
      </c>
      <c r="D43" s="159" t="s">
        <v>1954</v>
      </c>
      <c r="E43" s="1">
        <f>26968*1.07</f>
        <v>28855.760000000002</v>
      </c>
      <c r="F43" s="101" t="s">
        <v>1946</v>
      </c>
      <c r="G43" s="171" t="s">
        <v>1955</v>
      </c>
      <c r="H43" s="80">
        <v>1</v>
      </c>
    </row>
    <row r="44" spans="1:9">
      <c r="A44" s="76"/>
      <c r="B44" s="71"/>
      <c r="C44" s="72"/>
      <c r="D44" s="169" t="s">
        <v>19</v>
      </c>
      <c r="E44" s="206"/>
      <c r="F44" s="76"/>
      <c r="G44" s="170"/>
      <c r="H44" s="80"/>
    </row>
    <row r="45" spans="1:9">
      <c r="A45" s="70">
        <v>19</v>
      </c>
      <c r="B45" s="24" t="s">
        <v>141</v>
      </c>
      <c r="C45" s="159" t="s">
        <v>142</v>
      </c>
      <c r="D45" s="159" t="s">
        <v>1956</v>
      </c>
      <c r="E45" s="1">
        <f>3890*1.07</f>
        <v>4162.3</v>
      </c>
      <c r="F45" s="101" t="s">
        <v>1946</v>
      </c>
      <c r="G45" s="171" t="s">
        <v>1957</v>
      </c>
      <c r="H45" s="70">
        <v>1</v>
      </c>
    </row>
    <row r="46" spans="1:9">
      <c r="A46" s="76"/>
      <c r="B46" s="71"/>
      <c r="C46" s="72"/>
      <c r="D46" s="169"/>
      <c r="E46" s="206"/>
      <c r="F46" s="76"/>
      <c r="G46" s="170"/>
      <c r="H46" s="76"/>
    </row>
    <row r="47" spans="1:9">
      <c r="A47" s="70">
        <v>20</v>
      </c>
      <c r="B47" s="24" t="s">
        <v>200</v>
      </c>
      <c r="C47" s="159" t="s">
        <v>201</v>
      </c>
      <c r="D47" s="159" t="s">
        <v>1958</v>
      </c>
      <c r="E47" s="1">
        <f>4620*1.07</f>
        <v>4943.4000000000005</v>
      </c>
      <c r="F47" s="101" t="s">
        <v>1946</v>
      </c>
      <c r="G47" s="171" t="s">
        <v>1959</v>
      </c>
      <c r="H47" s="70">
        <v>1</v>
      </c>
    </row>
    <row r="48" spans="1:9">
      <c r="A48" s="76"/>
      <c r="B48" s="71"/>
      <c r="C48" s="72"/>
      <c r="D48" s="169" t="s">
        <v>138</v>
      </c>
      <c r="E48" s="206"/>
      <c r="F48" s="76"/>
      <c r="G48" s="170"/>
      <c r="H48" s="76"/>
    </row>
    <row r="49" spans="1:8">
      <c r="A49" s="70">
        <v>21</v>
      </c>
      <c r="B49" s="131" t="s">
        <v>1297</v>
      </c>
      <c r="C49" s="159" t="s">
        <v>1298</v>
      </c>
      <c r="D49" s="159" t="s">
        <v>1960</v>
      </c>
      <c r="E49" s="1">
        <f>9912*1.07</f>
        <v>10605.84</v>
      </c>
      <c r="F49" s="101" t="s">
        <v>1946</v>
      </c>
      <c r="G49" s="171" t="s">
        <v>1961</v>
      </c>
      <c r="H49" s="80">
        <v>1</v>
      </c>
    </row>
    <row r="50" spans="1:8">
      <c r="A50" s="76"/>
      <c r="B50" s="71"/>
      <c r="C50" s="72"/>
      <c r="D50" s="169" t="s">
        <v>226</v>
      </c>
      <c r="E50" s="206"/>
      <c r="F50" s="76"/>
      <c r="G50" s="75"/>
      <c r="H50" s="76"/>
    </row>
    <row r="51" spans="1:8">
      <c r="A51" s="70">
        <v>22</v>
      </c>
      <c r="B51" s="119" t="s">
        <v>124</v>
      </c>
      <c r="C51" s="159" t="s">
        <v>290</v>
      </c>
      <c r="D51" s="159" t="s">
        <v>1962</v>
      </c>
      <c r="E51" s="1">
        <f>62000*1.07</f>
        <v>66340</v>
      </c>
      <c r="F51" s="101" t="s">
        <v>1963</v>
      </c>
      <c r="G51" s="171" t="s">
        <v>1964</v>
      </c>
      <c r="H51" s="80">
        <v>1</v>
      </c>
    </row>
    <row r="52" spans="1:8">
      <c r="A52" s="76"/>
      <c r="B52" s="71"/>
      <c r="C52" s="72"/>
      <c r="D52" s="169"/>
      <c r="E52" s="206"/>
      <c r="F52" s="76"/>
      <c r="G52" s="170"/>
      <c r="H52" s="76"/>
    </row>
    <row r="53" spans="1:8">
      <c r="A53" s="70">
        <v>23</v>
      </c>
      <c r="B53" s="24" t="s">
        <v>200</v>
      </c>
      <c r="C53" s="159" t="s">
        <v>201</v>
      </c>
      <c r="D53" s="186" t="s">
        <v>1965</v>
      </c>
      <c r="E53" s="1">
        <f>47500*1.07</f>
        <v>50825</v>
      </c>
      <c r="F53" s="101" t="s">
        <v>1963</v>
      </c>
      <c r="G53" s="171" t="s">
        <v>1966</v>
      </c>
      <c r="H53" s="80">
        <v>1</v>
      </c>
    </row>
    <row r="54" spans="1:8">
      <c r="A54" s="76"/>
      <c r="B54" s="81"/>
      <c r="C54" s="77"/>
      <c r="D54" s="167" t="s">
        <v>138</v>
      </c>
      <c r="E54" s="257"/>
      <c r="F54" s="80"/>
      <c r="G54" s="175"/>
      <c r="H54" s="80"/>
    </row>
    <row r="55" spans="1:8">
      <c r="A55" s="70">
        <v>24</v>
      </c>
      <c r="B55" s="133" t="s">
        <v>508</v>
      </c>
      <c r="C55" s="10" t="s">
        <v>509</v>
      </c>
      <c r="D55" s="10" t="s">
        <v>1967</v>
      </c>
      <c r="E55" s="11">
        <f>80840*1.07</f>
        <v>86498.8</v>
      </c>
      <c r="F55" s="101" t="s">
        <v>1963</v>
      </c>
      <c r="G55" s="13" t="s">
        <v>1968</v>
      </c>
      <c r="H55" s="70">
        <v>1</v>
      </c>
    </row>
    <row r="56" spans="1:8">
      <c r="A56" s="76"/>
      <c r="B56" s="85"/>
      <c r="C56" s="72"/>
      <c r="D56" s="169" t="s">
        <v>636</v>
      </c>
      <c r="E56" s="292"/>
      <c r="F56" s="178"/>
      <c r="G56" s="170"/>
      <c r="H56" s="76"/>
    </row>
    <row r="57" spans="1:8">
      <c r="A57" s="70">
        <v>25</v>
      </c>
      <c r="B57" s="131" t="s">
        <v>1259</v>
      </c>
      <c r="C57" s="159" t="s">
        <v>911</v>
      </c>
      <c r="D57" s="159" t="s">
        <v>1969</v>
      </c>
      <c r="E57" s="1">
        <f>22000*1.07</f>
        <v>23540</v>
      </c>
      <c r="F57" s="101" t="s">
        <v>1963</v>
      </c>
      <c r="G57" s="171" t="s">
        <v>1970</v>
      </c>
      <c r="H57" s="70">
        <v>1</v>
      </c>
    </row>
    <row r="58" spans="1:8">
      <c r="A58" s="76"/>
      <c r="B58" s="81"/>
      <c r="C58" s="77"/>
      <c r="D58" s="167" t="s">
        <v>1971</v>
      </c>
      <c r="E58" s="257"/>
      <c r="F58" s="80"/>
      <c r="G58" s="175"/>
      <c r="H58" s="76"/>
    </row>
    <row r="59" spans="1:8">
      <c r="A59" s="70">
        <v>26</v>
      </c>
      <c r="B59" s="139" t="s">
        <v>23</v>
      </c>
      <c r="C59" s="180" t="s">
        <v>24</v>
      </c>
      <c r="D59" s="10" t="s">
        <v>1972</v>
      </c>
      <c r="E59" s="291">
        <f>780*1.07</f>
        <v>834.6</v>
      </c>
      <c r="F59" s="101" t="s">
        <v>1963</v>
      </c>
      <c r="G59" s="13" t="s">
        <v>1973</v>
      </c>
      <c r="H59" s="70">
        <v>1</v>
      </c>
    </row>
    <row r="60" spans="1:8">
      <c r="A60" s="76"/>
      <c r="B60" s="71"/>
      <c r="C60" s="230"/>
      <c r="D60" s="169"/>
      <c r="E60" s="206"/>
      <c r="F60" s="76"/>
      <c r="G60" s="170"/>
      <c r="H60" s="76"/>
    </row>
    <row r="61" spans="1:8">
      <c r="A61" s="70">
        <v>27</v>
      </c>
      <c r="B61" s="171" t="s">
        <v>1439</v>
      </c>
      <c r="C61" s="182" t="s">
        <v>1440</v>
      </c>
      <c r="D61" s="186" t="s">
        <v>1974</v>
      </c>
      <c r="E61" s="1">
        <f>22400*1.07</f>
        <v>23968</v>
      </c>
      <c r="F61" s="101" t="s">
        <v>1963</v>
      </c>
      <c r="G61" s="171" t="s">
        <v>1975</v>
      </c>
      <c r="H61" s="70">
        <v>1</v>
      </c>
    </row>
    <row r="62" spans="1:8">
      <c r="A62" s="76"/>
      <c r="B62" s="81"/>
      <c r="C62" s="111"/>
      <c r="D62" s="159" t="s">
        <v>1976</v>
      </c>
      <c r="E62" s="257"/>
      <c r="F62" s="80"/>
      <c r="G62" s="170"/>
      <c r="H62" s="76"/>
    </row>
    <row r="63" spans="1:8">
      <c r="A63" s="70">
        <v>28</v>
      </c>
      <c r="B63" s="22" t="s">
        <v>1677</v>
      </c>
      <c r="C63" s="152" t="s">
        <v>1678</v>
      </c>
      <c r="D63" s="172" t="s">
        <v>1977</v>
      </c>
      <c r="E63" s="11">
        <f>19500*1.07</f>
        <v>20865</v>
      </c>
      <c r="F63" s="101" t="s">
        <v>1963</v>
      </c>
      <c r="G63" s="171" t="s">
        <v>1978</v>
      </c>
      <c r="H63" s="70">
        <v>1</v>
      </c>
    </row>
    <row r="64" spans="1:8">
      <c r="A64" s="76"/>
      <c r="B64" s="76"/>
      <c r="C64" s="73"/>
      <c r="D64" s="167" t="s">
        <v>138</v>
      </c>
      <c r="E64" s="104"/>
      <c r="F64" s="76"/>
      <c r="G64" s="84"/>
      <c r="H64" s="76"/>
    </row>
    <row r="65" spans="1:9">
      <c r="A65" s="70">
        <v>29</v>
      </c>
      <c r="B65" s="131" t="s">
        <v>429</v>
      </c>
      <c r="C65" s="2" t="s">
        <v>478</v>
      </c>
      <c r="D65" s="10" t="s">
        <v>1979</v>
      </c>
      <c r="E65" s="11">
        <f>90000*1.07</f>
        <v>96300</v>
      </c>
      <c r="F65" s="101" t="s">
        <v>1963</v>
      </c>
      <c r="G65" s="26" t="s">
        <v>1980</v>
      </c>
      <c r="H65" s="70">
        <v>1</v>
      </c>
    </row>
    <row r="66" spans="1:9">
      <c r="A66" s="76"/>
      <c r="B66" s="80"/>
      <c r="C66" s="78"/>
      <c r="D66" s="167" t="s">
        <v>138</v>
      </c>
      <c r="E66" s="94"/>
      <c r="F66" s="80"/>
      <c r="G66" s="84"/>
      <c r="H66" s="80"/>
    </row>
    <row r="67" spans="1:9">
      <c r="A67" s="70">
        <v>30</v>
      </c>
      <c r="B67" s="28" t="s">
        <v>9</v>
      </c>
      <c r="C67" s="152" t="s">
        <v>50</v>
      </c>
      <c r="D67" s="10" t="s">
        <v>1981</v>
      </c>
      <c r="E67" s="291">
        <f>840*1.07</f>
        <v>898.80000000000007</v>
      </c>
      <c r="F67" s="101" t="s">
        <v>1963</v>
      </c>
      <c r="G67" s="26" t="s">
        <v>1982</v>
      </c>
      <c r="H67" s="70">
        <v>1</v>
      </c>
    </row>
    <row r="68" spans="1:9">
      <c r="A68" s="76"/>
      <c r="B68" s="76"/>
      <c r="C68" s="73"/>
      <c r="D68" s="169"/>
      <c r="E68" s="104"/>
      <c r="F68" s="76"/>
      <c r="G68" s="75"/>
      <c r="H68" s="76"/>
    </row>
    <row r="69" spans="1:9">
      <c r="A69" s="336" t="s">
        <v>561</v>
      </c>
      <c r="B69" s="347" t="s">
        <v>0</v>
      </c>
      <c r="C69" s="336" t="s">
        <v>1</v>
      </c>
      <c r="D69" s="336" t="s">
        <v>2</v>
      </c>
      <c r="E69" s="336" t="s">
        <v>3</v>
      </c>
      <c r="F69" s="340" t="s">
        <v>4</v>
      </c>
      <c r="G69" s="344"/>
      <c r="H69" s="336" t="s">
        <v>5</v>
      </c>
    </row>
    <row r="70" spans="1:9" ht="54" customHeight="1">
      <c r="A70" s="337"/>
      <c r="B70" s="348"/>
      <c r="C70" s="337"/>
      <c r="D70" s="337"/>
      <c r="E70" s="337"/>
      <c r="F70" s="302" t="s">
        <v>6</v>
      </c>
      <c r="G70" s="301" t="s">
        <v>7</v>
      </c>
      <c r="H70" s="337"/>
    </row>
    <row r="71" spans="1:9">
      <c r="A71" s="70">
        <v>31</v>
      </c>
      <c r="B71" s="24" t="s">
        <v>158</v>
      </c>
      <c r="C71" s="4" t="s">
        <v>159</v>
      </c>
      <c r="D71" s="159" t="s">
        <v>1983</v>
      </c>
      <c r="E71" s="1">
        <f>28800*1.07</f>
        <v>30816</v>
      </c>
      <c r="F71" s="101" t="s">
        <v>1984</v>
      </c>
      <c r="G71" s="171" t="s">
        <v>1985</v>
      </c>
      <c r="H71" s="70">
        <v>1</v>
      </c>
    </row>
    <row r="72" spans="1:9">
      <c r="A72" s="76"/>
      <c r="B72" s="81"/>
      <c r="C72" s="111"/>
      <c r="D72" s="167" t="s">
        <v>19</v>
      </c>
      <c r="E72" s="257"/>
      <c r="F72" s="80"/>
      <c r="G72" s="175"/>
      <c r="H72" s="76"/>
    </row>
    <row r="73" spans="1:9">
      <c r="A73" s="70">
        <v>32</v>
      </c>
      <c r="B73" s="24" t="s">
        <v>158</v>
      </c>
      <c r="C73" s="152" t="s">
        <v>159</v>
      </c>
      <c r="D73" s="10" t="s">
        <v>1986</v>
      </c>
      <c r="E73" s="11">
        <f>18000*1.07</f>
        <v>19260</v>
      </c>
      <c r="F73" s="101" t="s">
        <v>1984</v>
      </c>
      <c r="G73" s="13" t="s">
        <v>1987</v>
      </c>
      <c r="H73" s="70">
        <v>1</v>
      </c>
    </row>
    <row r="74" spans="1:9">
      <c r="A74" s="76"/>
      <c r="B74" s="71"/>
      <c r="C74" s="115"/>
      <c r="D74" s="304" t="s">
        <v>1988</v>
      </c>
      <c r="E74" s="206"/>
      <c r="F74" s="76"/>
      <c r="G74" s="170"/>
      <c r="H74" s="76"/>
      <c r="I74" s="78"/>
    </row>
    <row r="75" spans="1:9">
      <c r="A75" s="70">
        <v>33</v>
      </c>
      <c r="B75" s="305" t="s">
        <v>27</v>
      </c>
      <c r="C75" s="10" t="s">
        <v>28</v>
      </c>
      <c r="D75" s="10" t="s">
        <v>1989</v>
      </c>
      <c r="E75" s="1">
        <f>12800*1.07</f>
        <v>13696</v>
      </c>
      <c r="F75" s="101" t="s">
        <v>1984</v>
      </c>
      <c r="G75" s="171" t="s">
        <v>1990</v>
      </c>
      <c r="H75" s="70">
        <v>1</v>
      </c>
    </row>
    <row r="76" spans="1:9">
      <c r="A76" s="76"/>
      <c r="B76" s="306"/>
      <c r="C76" s="17"/>
      <c r="D76" s="169" t="s">
        <v>1991</v>
      </c>
      <c r="E76" s="206"/>
      <c r="F76" s="76"/>
      <c r="G76" s="170"/>
      <c r="H76" s="76"/>
    </row>
    <row r="77" spans="1:9">
      <c r="A77" s="70">
        <v>34</v>
      </c>
      <c r="B77" s="307" t="s">
        <v>158</v>
      </c>
      <c r="C77" s="159" t="s">
        <v>637</v>
      </c>
      <c r="D77" s="159" t="s">
        <v>1992</v>
      </c>
      <c r="E77" s="1">
        <f>1230*1.07</f>
        <v>1316.1000000000001</v>
      </c>
      <c r="F77" s="101" t="s">
        <v>1984</v>
      </c>
      <c r="G77" s="171" t="s">
        <v>1993</v>
      </c>
      <c r="H77" s="70">
        <v>1</v>
      </c>
    </row>
    <row r="78" spans="1:9">
      <c r="A78" s="76"/>
      <c r="B78" s="308"/>
      <c r="C78" s="77"/>
      <c r="D78" s="77"/>
      <c r="E78" s="257"/>
      <c r="F78" s="80"/>
      <c r="G78" s="175"/>
      <c r="H78" s="76"/>
    </row>
    <row r="79" spans="1:9">
      <c r="A79" s="70">
        <v>35</v>
      </c>
      <c r="B79" s="307" t="s">
        <v>141</v>
      </c>
      <c r="C79" s="10" t="s">
        <v>142</v>
      </c>
      <c r="D79" s="10" t="s">
        <v>1994</v>
      </c>
      <c r="E79" s="11">
        <f>2330*1.07</f>
        <v>2493.1000000000004</v>
      </c>
      <c r="F79" s="101" t="s">
        <v>1984</v>
      </c>
      <c r="G79" s="13" t="s">
        <v>1995</v>
      </c>
      <c r="H79" s="70">
        <v>1</v>
      </c>
    </row>
    <row r="80" spans="1:9">
      <c r="A80" s="76"/>
      <c r="B80" s="306"/>
      <c r="C80" s="72"/>
      <c r="D80" s="169"/>
      <c r="E80" s="206"/>
      <c r="F80" s="76"/>
      <c r="G80" s="170"/>
      <c r="H80" s="76"/>
    </row>
    <row r="81" spans="1:12">
      <c r="A81" s="70">
        <v>36</v>
      </c>
      <c r="B81" s="305" t="s">
        <v>27</v>
      </c>
      <c r="C81" s="159" t="s">
        <v>28</v>
      </c>
      <c r="D81" s="186" t="s">
        <v>1996</v>
      </c>
      <c r="E81" s="1">
        <f>62680*1.07</f>
        <v>67067.600000000006</v>
      </c>
      <c r="F81" s="101" t="s">
        <v>1984</v>
      </c>
      <c r="G81" s="171" t="s">
        <v>1997</v>
      </c>
      <c r="H81" s="70">
        <v>1</v>
      </c>
    </row>
    <row r="82" spans="1:12">
      <c r="A82" s="76"/>
      <c r="B82" s="309"/>
      <c r="C82" s="77"/>
      <c r="D82" s="167" t="s">
        <v>138</v>
      </c>
      <c r="E82" s="290"/>
      <c r="F82" s="220"/>
      <c r="G82" s="175"/>
      <c r="H82" s="80"/>
    </row>
    <row r="83" spans="1:12">
      <c r="A83" s="70">
        <v>37</v>
      </c>
      <c r="B83" s="310" t="s">
        <v>907</v>
      </c>
      <c r="C83" s="10" t="s">
        <v>908</v>
      </c>
      <c r="D83" s="10" t="s">
        <v>1998</v>
      </c>
      <c r="E83" s="11">
        <f>1200*1.07</f>
        <v>1284</v>
      </c>
      <c r="F83" s="101" t="s">
        <v>1984</v>
      </c>
      <c r="G83" s="26" t="s">
        <v>1999</v>
      </c>
      <c r="H83" s="70">
        <v>1</v>
      </c>
    </row>
    <row r="84" spans="1:12">
      <c r="A84" s="76"/>
      <c r="B84" s="306"/>
      <c r="C84" s="72"/>
      <c r="D84" s="169" t="s">
        <v>138</v>
      </c>
      <c r="E84" s="297"/>
      <c r="F84" s="73"/>
      <c r="G84" s="76"/>
      <c r="H84" s="72"/>
    </row>
    <row r="85" spans="1:12">
      <c r="A85" s="70">
        <v>38</v>
      </c>
      <c r="B85" s="311" t="s">
        <v>450</v>
      </c>
      <c r="C85" s="159" t="s">
        <v>451</v>
      </c>
      <c r="D85" s="159" t="s">
        <v>2000</v>
      </c>
      <c r="E85" s="1">
        <f>28400*1.07</f>
        <v>30388</v>
      </c>
      <c r="F85" s="101" t="s">
        <v>1984</v>
      </c>
      <c r="G85" s="171" t="s">
        <v>2001</v>
      </c>
      <c r="H85" s="70">
        <v>1</v>
      </c>
    </row>
    <row r="86" spans="1:12">
      <c r="A86" s="76"/>
      <c r="B86" s="306"/>
      <c r="C86" s="72"/>
      <c r="D86" s="169" t="s">
        <v>138</v>
      </c>
      <c r="E86" s="206"/>
      <c r="F86" s="76"/>
      <c r="G86" s="170"/>
      <c r="H86" s="76"/>
    </row>
    <row r="87" spans="1:12">
      <c r="A87" s="70">
        <v>39</v>
      </c>
      <c r="B87" s="305" t="s">
        <v>27</v>
      </c>
      <c r="C87" s="159" t="s">
        <v>28</v>
      </c>
      <c r="D87" s="159" t="s">
        <v>2002</v>
      </c>
      <c r="E87" s="1">
        <f>3475*1.07</f>
        <v>3718.25</v>
      </c>
      <c r="F87" s="101" t="s">
        <v>2003</v>
      </c>
      <c r="G87" s="171" t="s">
        <v>2004</v>
      </c>
      <c r="H87" s="70">
        <v>1</v>
      </c>
    </row>
    <row r="88" spans="1:12">
      <c r="A88" s="76"/>
      <c r="B88" s="312"/>
      <c r="C88" s="72"/>
      <c r="D88" s="188"/>
      <c r="E88" s="292"/>
      <c r="F88" s="178"/>
      <c r="G88" s="170"/>
      <c r="H88" s="76"/>
    </row>
    <row r="89" spans="1:12">
      <c r="A89" s="70">
        <v>40</v>
      </c>
      <c r="B89" s="313" t="s">
        <v>40</v>
      </c>
      <c r="C89" s="159" t="s">
        <v>594</v>
      </c>
      <c r="D89" s="159" t="s">
        <v>2005</v>
      </c>
      <c r="E89" s="1">
        <f>3000*1.07</f>
        <v>3210</v>
      </c>
      <c r="F89" s="101" t="s">
        <v>2003</v>
      </c>
      <c r="G89" s="171" t="s">
        <v>2006</v>
      </c>
      <c r="H89" s="70">
        <v>1</v>
      </c>
      <c r="L89" s="78"/>
    </row>
    <row r="90" spans="1:12">
      <c r="A90" s="76"/>
      <c r="B90" s="306"/>
      <c r="C90" s="72"/>
      <c r="D90" s="72"/>
      <c r="E90" s="206"/>
      <c r="F90" s="71"/>
      <c r="G90" s="71"/>
      <c r="H90" s="76"/>
    </row>
    <row r="91" spans="1:12">
      <c r="A91" s="70">
        <v>41</v>
      </c>
      <c r="B91" s="314" t="s">
        <v>2007</v>
      </c>
      <c r="C91" s="159" t="s">
        <v>1099</v>
      </c>
      <c r="D91" s="159" t="s">
        <v>2008</v>
      </c>
      <c r="E91" s="1">
        <f>48500*1.07</f>
        <v>51895</v>
      </c>
      <c r="F91" s="101" t="s">
        <v>2003</v>
      </c>
      <c r="G91" s="171" t="s">
        <v>2009</v>
      </c>
      <c r="H91" s="70">
        <v>1</v>
      </c>
    </row>
    <row r="92" spans="1:12">
      <c r="A92" s="76"/>
      <c r="B92" s="308"/>
      <c r="C92" s="77"/>
      <c r="D92" s="77"/>
      <c r="E92" s="257"/>
      <c r="F92" s="80"/>
      <c r="G92" s="80"/>
      <c r="H92" s="80"/>
    </row>
    <row r="93" spans="1:12">
      <c r="A93" s="70">
        <v>42</v>
      </c>
      <c r="B93" s="315" t="s">
        <v>2010</v>
      </c>
      <c r="C93" s="10" t="s">
        <v>587</v>
      </c>
      <c r="D93" s="10" t="s">
        <v>2011</v>
      </c>
      <c r="E93" s="11">
        <f>66200*1.07</f>
        <v>70834</v>
      </c>
      <c r="F93" s="101" t="s">
        <v>2003</v>
      </c>
      <c r="G93" s="13" t="s">
        <v>2012</v>
      </c>
      <c r="H93" s="70">
        <v>1</v>
      </c>
    </row>
    <row r="94" spans="1:12">
      <c r="A94" s="76"/>
      <c r="B94" s="306"/>
      <c r="C94" s="72"/>
      <c r="D94" s="169"/>
      <c r="E94" s="206"/>
      <c r="F94" s="76"/>
      <c r="G94" s="76"/>
      <c r="H94" s="76"/>
    </row>
    <row r="95" spans="1:12" s="303" customFormat="1">
      <c r="A95" s="70">
        <v>43</v>
      </c>
      <c r="B95" s="310" t="s">
        <v>1677</v>
      </c>
      <c r="C95" s="202" t="s">
        <v>1325</v>
      </c>
      <c r="D95" s="316" t="s">
        <v>2013</v>
      </c>
      <c r="E95" s="317">
        <f>76800*1.07</f>
        <v>82176</v>
      </c>
      <c r="F95" s="101" t="s">
        <v>2003</v>
      </c>
      <c r="G95" s="171" t="s">
        <v>2014</v>
      </c>
      <c r="H95" s="70">
        <v>1</v>
      </c>
    </row>
    <row r="96" spans="1:12">
      <c r="A96" s="76"/>
      <c r="B96" s="314"/>
      <c r="C96" s="318"/>
      <c r="D96" s="200" t="s">
        <v>138</v>
      </c>
      <c r="E96" s="257"/>
      <c r="F96" s="80"/>
      <c r="G96" s="175"/>
      <c r="H96" s="80"/>
    </row>
    <row r="97" spans="1:10">
      <c r="A97" s="70">
        <v>44</v>
      </c>
      <c r="B97" s="319" t="s">
        <v>124</v>
      </c>
      <c r="C97" s="10" t="s">
        <v>1058</v>
      </c>
      <c r="D97" s="152" t="s">
        <v>2015</v>
      </c>
      <c r="E97" s="151">
        <f>92600*1.07</f>
        <v>99082</v>
      </c>
      <c r="F97" s="101" t="s">
        <v>2016</v>
      </c>
      <c r="G97" s="13" t="s">
        <v>2017</v>
      </c>
      <c r="H97" s="70">
        <v>1</v>
      </c>
    </row>
    <row r="98" spans="1:10">
      <c r="A98" s="76"/>
      <c r="B98" s="306"/>
      <c r="C98" s="72"/>
      <c r="D98" s="89"/>
      <c r="E98" s="74"/>
      <c r="F98" s="76"/>
      <c r="G98" s="170"/>
      <c r="H98" s="76"/>
    </row>
    <row r="99" spans="1:10">
      <c r="A99" s="70">
        <v>45</v>
      </c>
      <c r="B99" s="185" t="s">
        <v>1716</v>
      </c>
      <c r="C99" s="10" t="s">
        <v>1717</v>
      </c>
      <c r="D99" s="152" t="s">
        <v>2018</v>
      </c>
      <c r="E99" s="151">
        <f>86500*1.07</f>
        <v>92555</v>
      </c>
      <c r="F99" s="101" t="s">
        <v>2019</v>
      </c>
      <c r="G99" s="26" t="s">
        <v>2020</v>
      </c>
      <c r="H99" s="70">
        <v>1</v>
      </c>
    </row>
    <row r="100" spans="1:10">
      <c r="A100" s="76"/>
      <c r="B100" s="76"/>
      <c r="C100" s="72"/>
      <c r="D100" s="89"/>
      <c r="E100" s="74"/>
      <c r="F100" s="76"/>
      <c r="G100" s="75"/>
      <c r="H100" s="76"/>
    </row>
    <row r="101" spans="1:10">
      <c r="A101" s="70">
        <v>46</v>
      </c>
      <c r="B101" s="162" t="s">
        <v>2021</v>
      </c>
      <c r="C101" s="159" t="s">
        <v>724</v>
      </c>
      <c r="D101" s="4" t="s">
        <v>2022</v>
      </c>
      <c r="E101" s="155">
        <f>3360*1.07</f>
        <v>3595.2000000000003</v>
      </c>
      <c r="F101" s="101" t="s">
        <v>2019</v>
      </c>
      <c r="G101" s="171" t="s">
        <v>2023</v>
      </c>
      <c r="H101" s="70">
        <v>1</v>
      </c>
    </row>
    <row r="102" spans="1:10">
      <c r="A102" s="76"/>
      <c r="B102" s="76"/>
      <c r="C102" s="72"/>
      <c r="D102" s="73"/>
      <c r="E102" s="74"/>
      <c r="F102" s="76"/>
      <c r="G102" s="75"/>
      <c r="H102" s="76"/>
    </row>
    <row r="103" spans="1:10">
      <c r="A103" s="336" t="s">
        <v>561</v>
      </c>
      <c r="B103" s="347" t="s">
        <v>0</v>
      </c>
      <c r="C103" s="336" t="s">
        <v>1</v>
      </c>
      <c r="D103" s="336" t="s">
        <v>2</v>
      </c>
      <c r="E103" s="336" t="s">
        <v>3</v>
      </c>
      <c r="F103" s="340" t="s">
        <v>4</v>
      </c>
      <c r="G103" s="344"/>
      <c r="H103" s="336" t="s">
        <v>5</v>
      </c>
      <c r="J103" s="78"/>
    </row>
    <row r="104" spans="1:10" ht="50.25" customHeight="1">
      <c r="A104" s="337"/>
      <c r="B104" s="348"/>
      <c r="C104" s="337"/>
      <c r="D104" s="337"/>
      <c r="E104" s="337"/>
      <c r="F104" s="302" t="s">
        <v>6</v>
      </c>
      <c r="G104" s="301" t="s">
        <v>7</v>
      </c>
      <c r="H104" s="337"/>
      <c r="J104" s="78"/>
    </row>
    <row r="105" spans="1:10">
      <c r="A105" s="80">
        <v>47</v>
      </c>
      <c r="B105" s="28" t="s">
        <v>9</v>
      </c>
      <c r="C105" s="10" t="s">
        <v>50</v>
      </c>
      <c r="D105" s="152" t="s">
        <v>2024</v>
      </c>
      <c r="E105" s="151">
        <f>2460*1.07</f>
        <v>2632.2000000000003</v>
      </c>
      <c r="F105" s="101" t="s">
        <v>2019</v>
      </c>
      <c r="G105" s="26" t="s">
        <v>2025</v>
      </c>
      <c r="H105" s="70">
        <v>1</v>
      </c>
    </row>
    <row r="106" spans="1:10">
      <c r="A106" s="76"/>
      <c r="B106" s="178"/>
      <c r="C106" s="72"/>
      <c r="D106" s="89" t="s">
        <v>138</v>
      </c>
      <c r="E106" s="74"/>
      <c r="F106" s="76"/>
      <c r="G106" s="75"/>
      <c r="H106" s="76"/>
    </row>
    <row r="107" spans="1:10">
      <c r="A107" s="70">
        <v>48</v>
      </c>
      <c r="B107" s="22" t="s">
        <v>115</v>
      </c>
      <c r="C107" s="10" t="s">
        <v>116</v>
      </c>
      <c r="D107" s="152" t="s">
        <v>2026</v>
      </c>
      <c r="E107" s="151">
        <f>56000*1.07</f>
        <v>59920</v>
      </c>
      <c r="F107" s="101" t="s">
        <v>2027</v>
      </c>
      <c r="G107" s="26" t="s">
        <v>2028</v>
      </c>
      <c r="H107" s="70">
        <v>1</v>
      </c>
    </row>
    <row r="108" spans="1:10">
      <c r="A108" s="76"/>
      <c r="B108" s="76"/>
      <c r="C108" s="72"/>
      <c r="D108" s="18" t="s">
        <v>1629</v>
      </c>
      <c r="E108" s="74"/>
      <c r="F108" s="76"/>
      <c r="G108" s="170"/>
      <c r="H108" s="76"/>
    </row>
    <row r="109" spans="1:10">
      <c r="A109" s="80">
        <v>49</v>
      </c>
      <c r="B109" s="162" t="s">
        <v>429</v>
      </c>
      <c r="C109" s="10" t="s">
        <v>478</v>
      </c>
      <c r="D109" s="10" t="s">
        <v>2029</v>
      </c>
      <c r="E109" s="11">
        <f>30600*1.07</f>
        <v>32742.000000000004</v>
      </c>
      <c r="F109" s="101" t="s">
        <v>2027</v>
      </c>
      <c r="G109" s="134" t="s">
        <v>2030</v>
      </c>
      <c r="H109" s="181">
        <v>1</v>
      </c>
    </row>
    <row r="110" spans="1:10">
      <c r="A110" s="76"/>
      <c r="B110" s="71"/>
      <c r="C110" s="72"/>
      <c r="D110" s="169" t="s">
        <v>138</v>
      </c>
      <c r="E110" s="206"/>
      <c r="F110" s="76"/>
      <c r="G110" s="76"/>
      <c r="H110" s="170"/>
    </row>
    <row r="111" spans="1:10">
      <c r="A111" s="70">
        <v>50</v>
      </c>
      <c r="B111" s="24" t="s">
        <v>200</v>
      </c>
      <c r="C111" s="159" t="s">
        <v>337</v>
      </c>
      <c r="D111" s="159" t="s">
        <v>2031</v>
      </c>
      <c r="E111" s="183">
        <f>11000*1.07</f>
        <v>11770</v>
      </c>
      <c r="F111" s="101" t="s">
        <v>2027</v>
      </c>
      <c r="G111" s="157" t="s">
        <v>2032</v>
      </c>
      <c r="H111" s="181">
        <v>1</v>
      </c>
    </row>
    <row r="112" spans="1:10">
      <c r="A112" s="76"/>
      <c r="B112" s="71"/>
      <c r="C112" s="72"/>
      <c r="D112" s="169"/>
      <c r="E112" s="104"/>
      <c r="F112" s="76"/>
      <c r="G112" s="76"/>
      <c r="H112" s="170"/>
    </row>
    <row r="113" spans="1:13">
      <c r="A113" s="80">
        <v>51</v>
      </c>
      <c r="B113" s="24" t="s">
        <v>200</v>
      </c>
      <c r="C113" s="2" t="s">
        <v>201</v>
      </c>
      <c r="D113" s="10" t="s">
        <v>2033</v>
      </c>
      <c r="E113" s="183">
        <f>19500*1.07</f>
        <v>20865</v>
      </c>
      <c r="F113" s="101" t="s">
        <v>2027</v>
      </c>
      <c r="G113" s="157" t="s">
        <v>2034</v>
      </c>
      <c r="H113" s="181">
        <v>1</v>
      </c>
    </row>
    <row r="114" spans="1:13">
      <c r="A114" s="76"/>
      <c r="B114" s="76"/>
      <c r="C114" s="111"/>
      <c r="D114" s="159" t="s">
        <v>2035</v>
      </c>
      <c r="E114" s="94"/>
      <c r="F114" s="80"/>
      <c r="G114" s="76"/>
      <c r="H114" s="170"/>
    </row>
    <row r="115" spans="1:13">
      <c r="A115" s="70">
        <v>52</v>
      </c>
      <c r="B115" s="28" t="s">
        <v>9</v>
      </c>
      <c r="C115" s="180" t="s">
        <v>10</v>
      </c>
      <c r="D115" s="10" t="s">
        <v>2036</v>
      </c>
      <c r="E115" s="11">
        <f>9080*1.07</f>
        <v>9715.6</v>
      </c>
      <c r="F115" s="101" t="s">
        <v>2027</v>
      </c>
      <c r="G115" s="157" t="s">
        <v>2037</v>
      </c>
      <c r="H115" s="181">
        <v>1</v>
      </c>
    </row>
    <row r="116" spans="1:13">
      <c r="A116" s="76"/>
      <c r="B116" s="76"/>
      <c r="C116" s="115"/>
      <c r="D116" s="169" t="s">
        <v>226</v>
      </c>
      <c r="E116" s="104"/>
      <c r="F116" s="76"/>
      <c r="G116" s="76"/>
      <c r="H116" s="170"/>
    </row>
    <row r="117" spans="1:13">
      <c r="A117" s="80">
        <v>53</v>
      </c>
      <c r="B117" s="307" t="s">
        <v>141</v>
      </c>
      <c r="C117" s="180" t="s">
        <v>142</v>
      </c>
      <c r="D117" s="10" t="s">
        <v>2038</v>
      </c>
      <c r="E117" s="205">
        <f>21650*1.07</f>
        <v>23165.5</v>
      </c>
      <c r="F117" s="101" t="s">
        <v>2027</v>
      </c>
      <c r="G117" s="184" t="s">
        <v>2039</v>
      </c>
      <c r="H117" s="175">
        <v>1</v>
      </c>
    </row>
    <row r="118" spans="1:13">
      <c r="A118" s="76"/>
      <c r="B118" s="76"/>
      <c r="C118" s="115"/>
      <c r="D118" s="169" t="s">
        <v>226</v>
      </c>
      <c r="E118" s="206"/>
      <c r="F118" s="76"/>
      <c r="G118" s="170"/>
      <c r="H118" s="170"/>
    </row>
    <row r="119" spans="1:13">
      <c r="A119" s="70">
        <v>54</v>
      </c>
      <c r="B119" s="307" t="s">
        <v>158</v>
      </c>
      <c r="C119" s="2" t="s">
        <v>637</v>
      </c>
      <c r="D119" s="159" t="s">
        <v>2040</v>
      </c>
      <c r="E119" s="255">
        <f>1300*1.07</f>
        <v>1391</v>
      </c>
      <c r="F119" s="101" t="s">
        <v>2027</v>
      </c>
      <c r="G119" s="184" t="s">
        <v>2041</v>
      </c>
      <c r="H119" s="181">
        <v>1</v>
      </c>
    </row>
    <row r="120" spans="1:13">
      <c r="A120" s="76"/>
      <c r="B120" s="57"/>
      <c r="C120" s="182"/>
      <c r="D120" s="77"/>
      <c r="E120" s="94"/>
      <c r="F120" s="80"/>
      <c r="G120" s="175"/>
      <c r="H120" s="170"/>
    </row>
    <row r="121" spans="1:13">
      <c r="A121" s="80">
        <v>55</v>
      </c>
      <c r="B121" s="22" t="s">
        <v>1367</v>
      </c>
      <c r="C121" s="152" t="s">
        <v>1368</v>
      </c>
      <c r="D121" s="10" t="s">
        <v>2042</v>
      </c>
      <c r="E121" s="11">
        <f>64605*1.07</f>
        <v>69127.350000000006</v>
      </c>
      <c r="F121" s="101" t="s">
        <v>2027</v>
      </c>
      <c r="G121" s="13" t="s">
        <v>2043</v>
      </c>
      <c r="H121" s="181">
        <v>1</v>
      </c>
    </row>
    <row r="122" spans="1:13">
      <c r="A122" s="76"/>
      <c r="B122" s="76"/>
      <c r="C122" s="115"/>
      <c r="D122" s="72"/>
      <c r="E122" s="206"/>
      <c r="F122" s="76"/>
      <c r="G122" s="170"/>
      <c r="H122" s="170"/>
    </row>
    <row r="123" spans="1:13">
      <c r="A123" s="70">
        <v>56</v>
      </c>
      <c r="B123" s="22" t="s">
        <v>58</v>
      </c>
      <c r="C123" s="2" t="s">
        <v>59</v>
      </c>
      <c r="D123" s="159" t="s">
        <v>2044</v>
      </c>
      <c r="E123" s="183">
        <f>1800*1.07</f>
        <v>1926</v>
      </c>
      <c r="F123" s="101" t="s">
        <v>2027</v>
      </c>
      <c r="G123" s="184" t="s">
        <v>2045</v>
      </c>
      <c r="H123" s="181">
        <v>1</v>
      </c>
    </row>
    <row r="124" spans="1:13">
      <c r="A124" s="76"/>
      <c r="B124" s="76"/>
      <c r="C124" s="230"/>
      <c r="D124" s="17"/>
      <c r="E124" s="104"/>
      <c r="F124" s="76"/>
      <c r="G124" s="170"/>
      <c r="H124" s="170"/>
    </row>
    <row r="125" spans="1:13">
      <c r="A125" s="80">
        <v>57</v>
      </c>
      <c r="B125" s="314" t="s">
        <v>2007</v>
      </c>
      <c r="C125" s="152" t="s">
        <v>1099</v>
      </c>
      <c r="D125" s="10" t="s">
        <v>2046</v>
      </c>
      <c r="E125" s="151">
        <f>76500*1.07</f>
        <v>81855</v>
      </c>
      <c r="F125" s="101" t="s">
        <v>2047</v>
      </c>
      <c r="G125" s="134" t="s">
        <v>2048</v>
      </c>
      <c r="H125" s="181">
        <v>1</v>
      </c>
    </row>
    <row r="126" spans="1:13">
      <c r="A126" s="76"/>
      <c r="B126" s="80"/>
      <c r="C126" s="115"/>
      <c r="D126" s="169"/>
      <c r="E126" s="74"/>
      <c r="F126" s="76"/>
      <c r="G126" s="76"/>
      <c r="H126" s="175"/>
      <c r="K126" s="78"/>
      <c r="M126" s="78"/>
    </row>
    <row r="127" spans="1:13">
      <c r="A127" s="70">
        <v>58</v>
      </c>
      <c r="B127" s="22" t="s">
        <v>2049</v>
      </c>
      <c r="C127" s="2" t="s">
        <v>1459</v>
      </c>
      <c r="D127" s="159" t="s">
        <v>2050</v>
      </c>
      <c r="E127" s="155">
        <f>68500*1.07</f>
        <v>73295</v>
      </c>
      <c r="F127" s="101" t="s">
        <v>2047</v>
      </c>
      <c r="G127" s="157" t="s">
        <v>2051</v>
      </c>
      <c r="H127" s="181">
        <v>1</v>
      </c>
      <c r="J127" s="78"/>
      <c r="L127" s="150" t="s">
        <v>2052</v>
      </c>
    </row>
    <row r="128" spans="1:13">
      <c r="A128" s="76"/>
      <c r="B128" s="76"/>
      <c r="C128" s="73"/>
      <c r="D128" s="169" t="s">
        <v>138</v>
      </c>
      <c r="E128" s="74"/>
      <c r="F128" s="76"/>
      <c r="G128" s="76"/>
      <c r="H128" s="170"/>
      <c r="J128" s="78"/>
    </row>
    <row r="129" spans="1:12">
      <c r="A129" s="80">
        <v>59</v>
      </c>
      <c r="B129" s="305" t="s">
        <v>27</v>
      </c>
      <c r="C129" s="152" t="s">
        <v>28</v>
      </c>
      <c r="D129" s="10" t="s">
        <v>2053</v>
      </c>
      <c r="E129" s="151">
        <f>43500*1.07</f>
        <v>46545</v>
      </c>
      <c r="F129" s="101" t="s">
        <v>2054</v>
      </c>
      <c r="G129" s="13" t="s">
        <v>2055</v>
      </c>
      <c r="H129" s="181">
        <v>1</v>
      </c>
    </row>
    <row r="130" spans="1:12">
      <c r="A130" s="76"/>
      <c r="B130" s="76"/>
      <c r="C130" s="115"/>
      <c r="D130" s="169"/>
      <c r="E130" s="74"/>
      <c r="F130" s="76"/>
      <c r="G130" s="170"/>
      <c r="H130" s="170"/>
      <c r="L130" s="78"/>
    </row>
    <row r="131" spans="1:12">
      <c r="A131" s="70">
        <v>60</v>
      </c>
      <c r="B131" s="185" t="s">
        <v>2056</v>
      </c>
      <c r="C131" s="180" t="s">
        <v>2057</v>
      </c>
      <c r="D131" s="10" t="s">
        <v>2058</v>
      </c>
      <c r="E131" s="151">
        <f>48600*1.07</f>
        <v>52002</v>
      </c>
      <c r="F131" s="101" t="s">
        <v>2054</v>
      </c>
      <c r="G131" s="13" t="s">
        <v>2059</v>
      </c>
      <c r="H131" s="181">
        <v>1</v>
      </c>
      <c r="L131" s="192"/>
    </row>
    <row r="132" spans="1:12">
      <c r="A132" s="76"/>
      <c r="B132" s="71"/>
      <c r="C132" s="201"/>
      <c r="D132" s="121"/>
      <c r="E132" s="74"/>
      <c r="F132" s="76"/>
      <c r="G132" s="170"/>
      <c r="H132" s="170"/>
      <c r="L132" s="194"/>
    </row>
    <row r="133" spans="1:12">
      <c r="A133" s="80">
        <v>61</v>
      </c>
      <c r="B133" s="319" t="s">
        <v>124</v>
      </c>
      <c r="C133" s="180" t="s">
        <v>290</v>
      </c>
      <c r="D133" s="10" t="s">
        <v>2060</v>
      </c>
      <c r="E133" s="1">
        <f>92600*1.07</f>
        <v>99082</v>
      </c>
      <c r="F133" s="101" t="s">
        <v>2054</v>
      </c>
      <c r="G133" s="171" t="s">
        <v>2061</v>
      </c>
      <c r="H133" s="70">
        <v>1</v>
      </c>
      <c r="L133" s="141"/>
    </row>
    <row r="134" spans="1:12">
      <c r="A134" s="76"/>
      <c r="B134" s="195"/>
      <c r="C134" s="230"/>
      <c r="D134" s="169" t="s">
        <v>138</v>
      </c>
      <c r="E134" s="206"/>
      <c r="F134" s="76"/>
      <c r="G134" s="75"/>
      <c r="H134" s="76"/>
    </row>
    <row r="135" spans="1:12">
      <c r="A135" s="70">
        <v>62</v>
      </c>
      <c r="B135" s="162" t="s">
        <v>2062</v>
      </c>
      <c r="C135" s="10" t="s">
        <v>2063</v>
      </c>
      <c r="D135" s="159" t="s">
        <v>2064</v>
      </c>
      <c r="E135" s="1">
        <f>8472*1.07</f>
        <v>9065.0400000000009</v>
      </c>
      <c r="F135" s="101" t="s">
        <v>2054</v>
      </c>
      <c r="G135" s="171" t="s">
        <v>2065</v>
      </c>
      <c r="H135" s="70">
        <v>1</v>
      </c>
    </row>
    <row r="136" spans="1:12">
      <c r="A136" s="76"/>
      <c r="B136" s="71"/>
      <c r="C136" s="121"/>
      <c r="D136" s="169" t="s">
        <v>138</v>
      </c>
      <c r="E136" s="206"/>
      <c r="F136" s="76"/>
      <c r="G136" s="75"/>
      <c r="H136" s="76"/>
      <c r="K136" s="150" t="s">
        <v>560</v>
      </c>
    </row>
    <row r="137" spans="1:12">
      <c r="A137" s="336" t="s">
        <v>561</v>
      </c>
      <c r="B137" s="338" t="s">
        <v>0</v>
      </c>
      <c r="C137" s="340" t="s">
        <v>1</v>
      </c>
      <c r="D137" s="341" t="s">
        <v>2</v>
      </c>
      <c r="E137" s="342" t="s">
        <v>3</v>
      </c>
      <c r="F137" s="344" t="s">
        <v>4</v>
      </c>
      <c r="G137" s="341"/>
      <c r="H137" s="336" t="s">
        <v>5</v>
      </c>
      <c r="J137" s="78"/>
    </row>
    <row r="138" spans="1:12" ht="49.5" customHeight="1">
      <c r="A138" s="337"/>
      <c r="B138" s="339"/>
      <c r="C138" s="340"/>
      <c r="D138" s="341"/>
      <c r="E138" s="343"/>
      <c r="F138" s="302" t="s">
        <v>6</v>
      </c>
      <c r="G138" s="301" t="s">
        <v>7</v>
      </c>
      <c r="H138" s="337"/>
      <c r="I138" s="78"/>
      <c r="J138" s="78"/>
    </row>
    <row r="139" spans="1:12">
      <c r="A139" s="70">
        <v>63</v>
      </c>
      <c r="B139" s="28" t="s">
        <v>9</v>
      </c>
      <c r="C139" s="4" t="s">
        <v>10</v>
      </c>
      <c r="D139" s="159" t="s">
        <v>2066</v>
      </c>
      <c r="E139" s="219">
        <f>360*1.07</f>
        <v>385.20000000000005</v>
      </c>
      <c r="F139" s="101" t="s">
        <v>2054</v>
      </c>
      <c r="G139" s="171" t="s">
        <v>2067</v>
      </c>
      <c r="H139" s="70">
        <v>1</v>
      </c>
      <c r="L139" s="78"/>
    </row>
    <row r="140" spans="1:12">
      <c r="A140" s="76"/>
      <c r="B140" s="76"/>
      <c r="C140" s="201"/>
      <c r="D140" s="169"/>
      <c r="E140" s="206"/>
      <c r="F140" s="76"/>
      <c r="G140" s="75"/>
      <c r="H140" s="76"/>
    </row>
    <row r="141" spans="1:12">
      <c r="A141" s="70">
        <v>64</v>
      </c>
      <c r="B141" s="28" t="s">
        <v>9</v>
      </c>
      <c r="C141" s="4" t="s">
        <v>50</v>
      </c>
      <c r="D141" s="159" t="s">
        <v>2068</v>
      </c>
      <c r="E141" s="221">
        <f>6400*1.07</f>
        <v>6848</v>
      </c>
      <c r="F141" s="101" t="s">
        <v>2054</v>
      </c>
      <c r="G141" s="171" t="s">
        <v>2069</v>
      </c>
      <c r="H141" s="70">
        <v>1</v>
      </c>
    </row>
    <row r="142" spans="1:12">
      <c r="A142" s="71"/>
      <c r="B142" s="76"/>
      <c r="C142" s="201"/>
      <c r="D142" s="169" t="s">
        <v>138</v>
      </c>
      <c r="E142" s="206"/>
      <c r="F142" s="76"/>
      <c r="G142" s="75"/>
      <c r="H142" s="76"/>
      <c r="I142" s="78"/>
    </row>
    <row r="143" spans="1:12">
      <c r="A143" s="70">
        <v>65</v>
      </c>
      <c r="B143" s="22" t="s">
        <v>58</v>
      </c>
      <c r="C143" s="4" t="s">
        <v>270</v>
      </c>
      <c r="D143" s="159" t="s">
        <v>2070</v>
      </c>
      <c r="E143" s="1">
        <f>5900*1.07</f>
        <v>6313</v>
      </c>
      <c r="F143" s="101" t="s">
        <v>2054</v>
      </c>
      <c r="G143" s="171" t="s">
        <v>2071</v>
      </c>
      <c r="H143" s="70">
        <v>1</v>
      </c>
      <c r="I143" s="78"/>
    </row>
    <row r="144" spans="1:12">
      <c r="A144" s="76"/>
      <c r="B144" s="76"/>
      <c r="C144" s="201"/>
      <c r="D144" s="169" t="s">
        <v>636</v>
      </c>
      <c r="E144" s="104"/>
      <c r="F144" s="76"/>
      <c r="G144" s="75"/>
      <c r="H144" s="76"/>
    </row>
    <row r="145" spans="1:12">
      <c r="A145" s="70">
        <v>66</v>
      </c>
      <c r="B145" s="28" t="s">
        <v>9</v>
      </c>
      <c r="C145" s="10" t="s">
        <v>50</v>
      </c>
      <c r="D145" s="159" t="s">
        <v>2072</v>
      </c>
      <c r="E145" s="1">
        <f>2500*1.07</f>
        <v>2675</v>
      </c>
      <c r="F145" s="101" t="s">
        <v>2054</v>
      </c>
      <c r="G145" s="171" t="s">
        <v>2073</v>
      </c>
      <c r="H145" s="70">
        <v>1</v>
      </c>
    </row>
    <row r="146" spans="1:12">
      <c r="A146" s="71"/>
      <c r="B146" s="71"/>
      <c r="C146" s="17"/>
      <c r="D146" s="169"/>
      <c r="E146" s="206"/>
      <c r="F146" s="76"/>
      <c r="G146" s="320"/>
      <c r="H146" s="76"/>
    </row>
    <row r="147" spans="1:12">
      <c r="A147" s="70">
        <v>67</v>
      </c>
      <c r="B147" s="22" t="s">
        <v>2074</v>
      </c>
      <c r="C147" s="10" t="s">
        <v>2075</v>
      </c>
      <c r="D147" s="10" t="s">
        <v>2076</v>
      </c>
      <c r="E147" s="11">
        <f>43000*1.07</f>
        <v>46010</v>
      </c>
      <c r="F147" s="101" t="s">
        <v>2054</v>
      </c>
      <c r="G147" s="13" t="s">
        <v>2077</v>
      </c>
      <c r="H147" s="70">
        <v>1</v>
      </c>
    </row>
    <row r="148" spans="1:12">
      <c r="A148" s="76"/>
      <c r="B148" s="76"/>
      <c r="C148" s="121"/>
      <c r="D148" s="17" t="s">
        <v>2078</v>
      </c>
      <c r="E148" s="206"/>
      <c r="F148" s="76"/>
      <c r="G148" s="232"/>
      <c r="H148" s="76"/>
    </row>
    <row r="149" spans="1:12">
      <c r="A149" s="70">
        <v>68</v>
      </c>
      <c r="B149" s="133" t="s">
        <v>508</v>
      </c>
      <c r="C149" s="4" t="s">
        <v>509</v>
      </c>
      <c r="D149" s="159" t="s">
        <v>2079</v>
      </c>
      <c r="E149" s="1">
        <f>26700*1.07</f>
        <v>28569</v>
      </c>
      <c r="F149" s="101" t="s">
        <v>2080</v>
      </c>
      <c r="G149" s="171" t="s">
        <v>2081</v>
      </c>
      <c r="H149" s="70">
        <v>1</v>
      </c>
    </row>
    <row r="150" spans="1:12">
      <c r="A150" s="71"/>
      <c r="B150" s="71"/>
      <c r="C150" s="201"/>
      <c r="D150" s="169" t="s">
        <v>19</v>
      </c>
      <c r="E150" s="206"/>
      <c r="F150" s="76"/>
      <c r="G150" s="170"/>
      <c r="H150" s="76"/>
    </row>
    <row r="151" spans="1:12" ht="27.75" customHeight="1">
      <c r="A151" s="70">
        <v>69</v>
      </c>
      <c r="B151" s="22" t="s">
        <v>2082</v>
      </c>
      <c r="C151" s="163" t="s">
        <v>2083</v>
      </c>
      <c r="D151" s="159" t="s">
        <v>2084</v>
      </c>
      <c r="E151" s="1">
        <f>31824*1.07</f>
        <v>34051.68</v>
      </c>
      <c r="F151" s="101" t="s">
        <v>2080</v>
      </c>
      <c r="G151" s="171" t="s">
        <v>2085</v>
      </c>
      <c r="H151" s="70">
        <v>1</v>
      </c>
      <c r="L151" s="321" t="s">
        <v>2086</v>
      </c>
    </row>
    <row r="152" spans="1:12">
      <c r="A152" s="80"/>
      <c r="B152" s="76"/>
      <c r="C152" s="124"/>
      <c r="D152" s="169"/>
      <c r="E152" s="206"/>
      <c r="F152" s="76"/>
      <c r="G152" s="170"/>
      <c r="H152" s="76"/>
    </row>
    <row r="153" spans="1:12">
      <c r="A153" s="70">
        <v>70</v>
      </c>
      <c r="B153" s="153" t="s">
        <v>158</v>
      </c>
      <c r="C153" s="4" t="s">
        <v>159</v>
      </c>
      <c r="D153" s="159" t="s">
        <v>2087</v>
      </c>
      <c r="E153" s="1">
        <f>15700*1.07</f>
        <v>16799</v>
      </c>
      <c r="F153" s="101" t="s">
        <v>2080</v>
      </c>
      <c r="G153" s="171" t="s">
        <v>2088</v>
      </c>
      <c r="H153" s="70">
        <v>1</v>
      </c>
    </row>
    <row r="154" spans="1:12">
      <c r="A154" s="76"/>
      <c r="B154" s="19"/>
      <c r="C154" s="201"/>
      <c r="D154" s="72"/>
      <c r="E154" s="206"/>
      <c r="F154" s="76"/>
      <c r="G154" s="170"/>
      <c r="H154" s="76"/>
    </row>
    <row r="155" spans="1:12">
      <c r="A155" s="80">
        <v>71</v>
      </c>
      <c r="B155" s="319" t="s">
        <v>124</v>
      </c>
      <c r="C155" s="4" t="s">
        <v>1058</v>
      </c>
      <c r="D155" s="159" t="s">
        <v>2089</v>
      </c>
      <c r="E155" s="1">
        <f>53040*1.07</f>
        <v>56752.800000000003</v>
      </c>
      <c r="F155" s="101" t="s">
        <v>2080</v>
      </c>
      <c r="G155" s="171" t="s">
        <v>2090</v>
      </c>
      <c r="H155" s="70">
        <v>1</v>
      </c>
    </row>
    <row r="156" spans="1:12">
      <c r="A156" s="76"/>
      <c r="B156" s="76"/>
      <c r="C156" s="124"/>
      <c r="D156" s="169" t="s">
        <v>138</v>
      </c>
      <c r="E156" s="206"/>
      <c r="F156" s="76"/>
      <c r="G156" s="170"/>
      <c r="H156" s="76"/>
    </row>
    <row r="157" spans="1:12">
      <c r="A157" s="70">
        <v>72</v>
      </c>
      <c r="B157" s="171" t="s">
        <v>488</v>
      </c>
      <c r="C157" s="10" t="s">
        <v>2091</v>
      </c>
      <c r="D157" s="10" t="s">
        <v>2092</v>
      </c>
      <c r="E157" s="1">
        <f>18600*1.07</f>
        <v>19902</v>
      </c>
      <c r="F157" s="101" t="s">
        <v>2093</v>
      </c>
      <c r="G157" s="171" t="s">
        <v>2094</v>
      </c>
      <c r="H157" s="70">
        <v>1</v>
      </c>
    </row>
    <row r="158" spans="1:12">
      <c r="A158" s="71"/>
      <c r="B158" s="71"/>
      <c r="C158" s="121"/>
      <c r="D158" s="121"/>
      <c r="E158" s="206"/>
      <c r="F158" s="116"/>
      <c r="G158" s="170"/>
      <c r="H158" s="76"/>
    </row>
    <row r="159" spans="1:12">
      <c r="A159" s="70">
        <v>73</v>
      </c>
      <c r="B159" s="313" t="s">
        <v>40</v>
      </c>
      <c r="C159" s="4" t="s">
        <v>594</v>
      </c>
      <c r="D159" s="159" t="s">
        <v>2095</v>
      </c>
      <c r="E159" s="1">
        <f>10250*1.07</f>
        <v>10967.5</v>
      </c>
      <c r="F159" s="101" t="s">
        <v>2093</v>
      </c>
      <c r="G159" s="171" t="s">
        <v>2096</v>
      </c>
      <c r="H159" s="70">
        <v>1</v>
      </c>
    </row>
    <row r="160" spans="1:12">
      <c r="A160" s="76"/>
      <c r="B160" s="71"/>
      <c r="C160" s="201"/>
      <c r="D160" s="169" t="s">
        <v>543</v>
      </c>
      <c r="E160" s="206"/>
      <c r="F160" s="76"/>
      <c r="G160" s="170"/>
      <c r="H160" s="76"/>
    </row>
    <row r="161" spans="1:11">
      <c r="A161" s="70">
        <v>74</v>
      </c>
      <c r="B161" s="133" t="s">
        <v>508</v>
      </c>
      <c r="C161" s="4" t="s">
        <v>509</v>
      </c>
      <c r="D161" s="186" t="s">
        <v>2097</v>
      </c>
      <c r="E161" s="1">
        <f>3460*1.07</f>
        <v>3702.2000000000003</v>
      </c>
      <c r="F161" s="101" t="s">
        <v>2093</v>
      </c>
      <c r="G161" s="171" t="s">
        <v>2098</v>
      </c>
      <c r="H161" s="70">
        <v>1</v>
      </c>
    </row>
    <row r="162" spans="1:11">
      <c r="A162" s="71"/>
      <c r="B162" s="71"/>
      <c r="C162" s="201"/>
      <c r="D162" s="159" t="s">
        <v>2099</v>
      </c>
      <c r="E162" s="206"/>
      <c r="F162" s="76"/>
      <c r="G162" s="170"/>
      <c r="H162" s="76"/>
    </row>
    <row r="163" spans="1:11">
      <c r="A163" s="70">
        <v>75</v>
      </c>
      <c r="B163" s="319" t="s">
        <v>124</v>
      </c>
      <c r="C163" s="4" t="s">
        <v>290</v>
      </c>
      <c r="D163" s="10" t="s">
        <v>2100</v>
      </c>
      <c r="E163" s="221">
        <f>9350*1.07</f>
        <v>10004.5</v>
      </c>
      <c r="F163" s="101" t="s">
        <v>2093</v>
      </c>
      <c r="G163" s="171" t="s">
        <v>2101</v>
      </c>
      <c r="H163" s="70">
        <v>1</v>
      </c>
    </row>
    <row r="164" spans="1:11">
      <c r="A164" s="76"/>
      <c r="B164" s="71"/>
      <c r="C164" s="201"/>
      <c r="D164" s="169"/>
      <c r="E164" s="206"/>
      <c r="F164" s="76"/>
      <c r="G164" s="232"/>
      <c r="H164" s="76"/>
      <c r="K164" s="78"/>
    </row>
    <row r="165" spans="1:11">
      <c r="A165" s="70">
        <v>76</v>
      </c>
      <c r="B165" s="22" t="s">
        <v>1206</v>
      </c>
      <c r="C165" s="2" t="s">
        <v>2102</v>
      </c>
      <c r="D165" s="172" t="s">
        <v>2103</v>
      </c>
      <c r="E165" s="183">
        <f>76000*1.07</f>
        <v>81320</v>
      </c>
      <c r="F165" s="101" t="s">
        <v>2093</v>
      </c>
      <c r="G165" s="298" t="s">
        <v>2104</v>
      </c>
      <c r="H165" s="70">
        <v>1</v>
      </c>
    </row>
    <row r="166" spans="1:11">
      <c r="A166" s="71"/>
      <c r="B166" s="76"/>
      <c r="C166" s="18"/>
      <c r="D166" s="169"/>
      <c r="E166" s="206"/>
      <c r="F166" s="76"/>
      <c r="G166" s="170"/>
      <c r="H166" s="76"/>
    </row>
    <row r="167" spans="1:11">
      <c r="A167" s="70">
        <v>77</v>
      </c>
      <c r="B167" s="22" t="s">
        <v>971</v>
      </c>
      <c r="C167" s="2" t="s">
        <v>481</v>
      </c>
      <c r="D167" s="10" t="s">
        <v>2105</v>
      </c>
      <c r="E167" s="183">
        <f>57400*1.07</f>
        <v>61418</v>
      </c>
      <c r="F167" s="101" t="s">
        <v>2106</v>
      </c>
      <c r="G167" s="298" t="s">
        <v>2107</v>
      </c>
      <c r="H167" s="70">
        <v>1</v>
      </c>
    </row>
    <row r="168" spans="1:11">
      <c r="A168" s="76"/>
      <c r="B168" s="76"/>
      <c r="C168" s="18"/>
      <c r="D168" s="72"/>
      <c r="E168" s="206"/>
      <c r="F168" s="76"/>
      <c r="G168" s="170"/>
      <c r="H168" s="76"/>
    </row>
    <row r="169" spans="1:11">
      <c r="A169" s="70">
        <v>78</v>
      </c>
      <c r="B169" s="305" t="s">
        <v>27</v>
      </c>
      <c r="C169" s="10" t="s">
        <v>28</v>
      </c>
      <c r="D169" s="4" t="s">
        <v>2111</v>
      </c>
      <c r="E169" s="151">
        <f>82900*1.07</f>
        <v>88703</v>
      </c>
      <c r="F169" s="101" t="s">
        <v>2112</v>
      </c>
      <c r="G169" s="171" t="s">
        <v>2113</v>
      </c>
      <c r="H169" s="70">
        <v>1</v>
      </c>
    </row>
    <row r="170" spans="1:11">
      <c r="A170" s="71"/>
      <c r="B170" s="71"/>
      <c r="C170" s="72"/>
      <c r="D170" s="89" t="s">
        <v>138</v>
      </c>
      <c r="E170" s="74"/>
      <c r="F170" s="76"/>
      <c r="G170" s="170"/>
      <c r="H170" s="76"/>
    </row>
    <row r="171" spans="1:11">
      <c r="A171" s="336" t="s">
        <v>561</v>
      </c>
      <c r="B171" s="338" t="s">
        <v>0</v>
      </c>
      <c r="C171" s="341" t="s">
        <v>1</v>
      </c>
      <c r="D171" s="351" t="s">
        <v>2</v>
      </c>
      <c r="E171" s="336" t="s">
        <v>3</v>
      </c>
      <c r="F171" s="344" t="s">
        <v>4</v>
      </c>
      <c r="G171" s="341"/>
      <c r="H171" s="336" t="s">
        <v>5</v>
      </c>
    </row>
    <row r="172" spans="1:11" ht="52.5" customHeight="1">
      <c r="A172" s="337"/>
      <c r="B172" s="339"/>
      <c r="C172" s="341"/>
      <c r="D172" s="351"/>
      <c r="E172" s="337"/>
      <c r="F172" s="302" t="s">
        <v>6</v>
      </c>
      <c r="G172" s="301" t="s">
        <v>7</v>
      </c>
      <c r="H172" s="337"/>
    </row>
    <row r="173" spans="1:11">
      <c r="A173" s="70">
        <v>79</v>
      </c>
      <c r="B173" s="307" t="s">
        <v>141</v>
      </c>
      <c r="C173" s="159" t="s">
        <v>142</v>
      </c>
      <c r="D173" s="4" t="s">
        <v>2114</v>
      </c>
      <c r="E173" s="155">
        <f>89550*1.07</f>
        <v>95818.5</v>
      </c>
      <c r="F173" s="101" t="s">
        <v>2112</v>
      </c>
      <c r="G173" s="171" t="s">
        <v>2115</v>
      </c>
      <c r="H173" s="80">
        <v>1</v>
      </c>
      <c r="J173" s="94"/>
    </row>
    <row r="174" spans="1:11">
      <c r="A174" s="76"/>
      <c r="B174" s="71"/>
      <c r="C174" s="72"/>
      <c r="D174" s="89" t="s">
        <v>138</v>
      </c>
      <c r="E174" s="74"/>
      <c r="F174" s="76"/>
      <c r="G174" s="170"/>
      <c r="H174" s="80"/>
      <c r="J174" s="303"/>
      <c r="K174" s="150" t="s">
        <v>1550</v>
      </c>
    </row>
    <row r="175" spans="1:11">
      <c r="A175" s="70">
        <v>80</v>
      </c>
      <c r="B175" s="22" t="s">
        <v>115</v>
      </c>
      <c r="C175" s="159" t="s">
        <v>116</v>
      </c>
      <c r="D175" s="211" t="s">
        <v>2116</v>
      </c>
      <c r="E175" s="155">
        <f>90000*1.07</f>
        <v>96300</v>
      </c>
      <c r="F175" s="101" t="s">
        <v>2112</v>
      </c>
      <c r="G175" s="171" t="s">
        <v>2117</v>
      </c>
      <c r="H175" s="70">
        <v>1</v>
      </c>
    </row>
    <row r="176" spans="1:11">
      <c r="A176" s="76"/>
      <c r="B176" s="85"/>
      <c r="C176" s="72"/>
      <c r="D176" s="18" t="s">
        <v>2118</v>
      </c>
      <c r="E176" s="86"/>
      <c r="F176" s="76"/>
      <c r="G176" s="170"/>
      <c r="H176" s="76"/>
    </row>
    <row r="177" spans="1:17">
      <c r="A177" s="70">
        <v>81</v>
      </c>
      <c r="B177" s="22" t="s">
        <v>1367</v>
      </c>
      <c r="C177" s="159" t="s">
        <v>1368</v>
      </c>
      <c r="D177" s="4" t="s">
        <v>2119</v>
      </c>
      <c r="E177" s="155">
        <f>40032*1.07</f>
        <v>42834.240000000005</v>
      </c>
      <c r="F177" s="101" t="s">
        <v>2112</v>
      </c>
      <c r="G177" s="171" t="s">
        <v>2120</v>
      </c>
      <c r="H177" s="70">
        <v>1</v>
      </c>
    </row>
    <row r="178" spans="1:17">
      <c r="A178" s="76"/>
      <c r="B178" s="81"/>
      <c r="C178" s="77"/>
      <c r="D178" s="4" t="s">
        <v>2121</v>
      </c>
      <c r="E178" s="83"/>
      <c r="F178" s="80"/>
      <c r="G178" s="170"/>
      <c r="H178" s="76"/>
    </row>
    <row r="179" spans="1:17">
      <c r="A179" s="70">
        <v>82</v>
      </c>
      <c r="B179" s="44" t="s">
        <v>40</v>
      </c>
      <c r="C179" s="10" t="s">
        <v>594</v>
      </c>
      <c r="D179" s="152" t="s">
        <v>2122</v>
      </c>
      <c r="E179" s="151">
        <f>9360*1.07</f>
        <v>10015.200000000001</v>
      </c>
      <c r="F179" s="101" t="s">
        <v>2112</v>
      </c>
      <c r="G179" s="171" t="s">
        <v>2123</v>
      </c>
      <c r="H179" s="80">
        <v>1</v>
      </c>
    </row>
    <row r="180" spans="1:17">
      <c r="A180" s="76"/>
      <c r="B180" s="71"/>
      <c r="C180" s="72"/>
      <c r="D180" s="73"/>
      <c r="E180" s="74"/>
      <c r="F180" s="76"/>
      <c r="G180" s="170"/>
      <c r="H180" s="80"/>
    </row>
    <row r="181" spans="1:17">
      <c r="A181" s="70">
        <v>83</v>
      </c>
      <c r="B181" s="126" t="s">
        <v>183</v>
      </c>
      <c r="C181" s="159" t="s">
        <v>184</v>
      </c>
      <c r="D181" s="4" t="s">
        <v>2124</v>
      </c>
      <c r="E181" s="155">
        <f>28890*1.07</f>
        <v>30912.300000000003</v>
      </c>
      <c r="F181" s="101" t="s">
        <v>2112</v>
      </c>
      <c r="G181" s="171" t="s">
        <v>2125</v>
      </c>
      <c r="H181" s="70">
        <v>1</v>
      </c>
    </row>
    <row r="182" spans="1:17">
      <c r="A182" s="76"/>
      <c r="B182" s="71"/>
      <c r="C182" s="72"/>
      <c r="D182" s="89" t="s">
        <v>138</v>
      </c>
      <c r="E182" s="74"/>
      <c r="F182" s="76"/>
      <c r="G182" s="170"/>
      <c r="H182" s="76"/>
    </row>
    <row r="183" spans="1:17">
      <c r="A183" s="70">
        <v>84</v>
      </c>
      <c r="B183" s="28" t="s">
        <v>9</v>
      </c>
      <c r="C183" s="159" t="s">
        <v>50</v>
      </c>
      <c r="D183" s="4" t="s">
        <v>2126</v>
      </c>
      <c r="E183" s="155">
        <f>10600*1.07</f>
        <v>11342</v>
      </c>
      <c r="F183" s="101" t="s">
        <v>2127</v>
      </c>
      <c r="G183" s="171" t="s">
        <v>2128</v>
      </c>
      <c r="H183" s="70">
        <v>1</v>
      </c>
    </row>
    <row r="184" spans="1:17">
      <c r="A184" s="76"/>
      <c r="B184" s="71"/>
      <c r="C184" s="72"/>
      <c r="D184" s="89" t="s">
        <v>138</v>
      </c>
      <c r="E184" s="74"/>
      <c r="F184" s="76"/>
      <c r="G184" s="170"/>
      <c r="H184" s="76"/>
      <c r="I184" s="150" t="s">
        <v>1550</v>
      </c>
    </row>
    <row r="185" spans="1:17">
      <c r="A185" s="70">
        <v>85</v>
      </c>
      <c r="B185" s="131" t="s">
        <v>743</v>
      </c>
      <c r="C185" s="159" t="s">
        <v>962</v>
      </c>
      <c r="D185" s="4" t="s">
        <v>2129</v>
      </c>
      <c r="E185" s="155">
        <f>17120*1.07</f>
        <v>18318.400000000001</v>
      </c>
      <c r="F185" s="101" t="s">
        <v>2127</v>
      </c>
      <c r="G185" s="171" t="s">
        <v>2130</v>
      </c>
      <c r="H185" s="80">
        <v>1</v>
      </c>
    </row>
    <row r="186" spans="1:17" ht="27" customHeight="1">
      <c r="A186" s="76"/>
      <c r="B186" s="71"/>
      <c r="C186" s="72"/>
      <c r="D186" s="89" t="s">
        <v>138</v>
      </c>
      <c r="E186" s="74"/>
      <c r="F186" s="76"/>
      <c r="G186" s="170"/>
      <c r="H186" s="80"/>
    </row>
    <row r="187" spans="1:17">
      <c r="A187" s="70">
        <v>86</v>
      </c>
      <c r="B187" s="131" t="s">
        <v>743</v>
      </c>
      <c r="C187" s="159" t="s">
        <v>962</v>
      </c>
      <c r="D187" s="4" t="s">
        <v>2131</v>
      </c>
      <c r="E187" s="155">
        <f>18560*1.07</f>
        <v>19859.2</v>
      </c>
      <c r="F187" s="101" t="s">
        <v>2132</v>
      </c>
      <c r="G187" s="171" t="s">
        <v>2133</v>
      </c>
      <c r="H187" s="70">
        <v>1</v>
      </c>
      <c r="Q187" s="78"/>
    </row>
    <row r="188" spans="1:17">
      <c r="A188" s="76"/>
      <c r="B188" s="71"/>
      <c r="C188" s="17"/>
      <c r="D188" s="89" t="s">
        <v>19</v>
      </c>
      <c r="E188" s="74"/>
      <c r="F188" s="76"/>
      <c r="G188" s="170"/>
      <c r="H188" s="76"/>
    </row>
    <row r="189" spans="1:17">
      <c r="A189" s="70">
        <v>87</v>
      </c>
      <c r="B189" s="22" t="s">
        <v>115</v>
      </c>
      <c r="C189" s="159" t="s">
        <v>116</v>
      </c>
      <c r="D189" s="4" t="s">
        <v>2134</v>
      </c>
      <c r="E189" s="155">
        <f>83000*1.07</f>
        <v>88810</v>
      </c>
      <c r="F189" s="101" t="s">
        <v>2132</v>
      </c>
      <c r="G189" s="171" t="s">
        <v>2135</v>
      </c>
      <c r="H189" s="80">
        <v>1</v>
      </c>
    </row>
    <row r="190" spans="1:17" ht="22.5" customHeight="1">
      <c r="A190" s="76"/>
      <c r="B190" s="85"/>
      <c r="C190" s="72"/>
      <c r="D190" s="89"/>
      <c r="E190" s="86"/>
      <c r="F190" s="178"/>
      <c r="G190" s="170"/>
      <c r="H190" s="80"/>
    </row>
    <row r="191" spans="1:17">
      <c r="A191" s="70">
        <v>88</v>
      </c>
      <c r="B191" s="162" t="s">
        <v>1950</v>
      </c>
      <c r="C191" s="159" t="s">
        <v>2136</v>
      </c>
      <c r="D191" s="4" t="s">
        <v>2137</v>
      </c>
      <c r="E191" s="155">
        <f>92040*1.07</f>
        <v>98482.8</v>
      </c>
      <c r="F191" s="101" t="s">
        <v>2132</v>
      </c>
      <c r="G191" s="171" t="s">
        <v>2138</v>
      </c>
      <c r="H191" s="70">
        <v>1</v>
      </c>
    </row>
    <row r="192" spans="1:17">
      <c r="A192" s="76"/>
      <c r="B192" s="71"/>
      <c r="C192" s="72"/>
      <c r="D192" s="89" t="s">
        <v>138</v>
      </c>
      <c r="E192" s="74"/>
      <c r="F192" s="76"/>
      <c r="G192" s="170"/>
      <c r="H192" s="76"/>
    </row>
    <row r="193" spans="1:8">
      <c r="A193" s="70">
        <v>89</v>
      </c>
      <c r="B193" s="105" t="s">
        <v>100</v>
      </c>
      <c r="C193" s="159" t="s">
        <v>663</v>
      </c>
      <c r="D193" s="4" t="s">
        <v>2139</v>
      </c>
      <c r="E193" s="155">
        <f>53000*1.07</f>
        <v>56710</v>
      </c>
      <c r="F193" s="101" t="s">
        <v>2132</v>
      </c>
      <c r="G193" s="171" t="s">
        <v>2140</v>
      </c>
      <c r="H193" s="80">
        <v>1</v>
      </c>
    </row>
    <row r="194" spans="1:8">
      <c r="A194" s="76"/>
      <c r="B194" s="71"/>
      <c r="C194" s="72"/>
      <c r="D194" s="89" t="s">
        <v>138</v>
      </c>
      <c r="E194" s="74"/>
      <c r="F194" s="76"/>
      <c r="G194" s="170"/>
      <c r="H194" s="76"/>
    </row>
    <row r="195" spans="1:8">
      <c r="A195" s="70">
        <v>90</v>
      </c>
      <c r="B195" s="24" t="s">
        <v>200</v>
      </c>
      <c r="C195" s="159" t="s">
        <v>201</v>
      </c>
      <c r="D195" s="163" t="s">
        <v>2141</v>
      </c>
      <c r="E195" s="155">
        <f>25800*1.07</f>
        <v>27606</v>
      </c>
      <c r="F195" s="101" t="s">
        <v>2132</v>
      </c>
      <c r="G195" s="171" t="s">
        <v>2142</v>
      </c>
      <c r="H195" s="70">
        <v>1</v>
      </c>
    </row>
    <row r="196" spans="1:8">
      <c r="A196" s="76"/>
      <c r="B196" s="71"/>
      <c r="C196" s="72"/>
      <c r="D196" s="89"/>
      <c r="E196" s="74"/>
      <c r="F196" s="76"/>
      <c r="G196" s="170"/>
      <c r="H196" s="76"/>
    </row>
    <row r="197" spans="1:8">
      <c r="A197" s="70">
        <v>91</v>
      </c>
      <c r="B197" s="22" t="s">
        <v>1367</v>
      </c>
      <c r="C197" s="159" t="s">
        <v>1368</v>
      </c>
      <c r="D197" s="4" t="s">
        <v>2143</v>
      </c>
      <c r="E197" s="155">
        <f>12696*1.07</f>
        <v>13584.720000000001</v>
      </c>
      <c r="F197" s="101" t="s">
        <v>2132</v>
      </c>
      <c r="G197" s="171" t="s">
        <v>2144</v>
      </c>
      <c r="H197" s="70">
        <v>1</v>
      </c>
    </row>
    <row r="198" spans="1:8">
      <c r="A198" s="76"/>
      <c r="B198" s="71"/>
      <c r="C198" s="17"/>
      <c r="D198" s="89"/>
      <c r="E198" s="74"/>
      <c r="F198" s="76"/>
      <c r="G198" s="170"/>
      <c r="H198" s="76"/>
    </row>
    <row r="199" spans="1:8">
      <c r="A199" s="70">
        <v>92</v>
      </c>
      <c r="B199" s="22" t="s">
        <v>1032</v>
      </c>
      <c r="C199" s="10" t="s">
        <v>505</v>
      </c>
      <c r="D199" s="152" t="s">
        <v>2145</v>
      </c>
      <c r="E199" s="151">
        <f>20920*1.07</f>
        <v>22384.400000000001</v>
      </c>
      <c r="F199" s="101" t="s">
        <v>2132</v>
      </c>
      <c r="G199" s="26" t="s">
        <v>2146</v>
      </c>
      <c r="H199" s="70">
        <v>1</v>
      </c>
    </row>
    <row r="200" spans="1:8">
      <c r="A200" s="76"/>
      <c r="B200" s="71"/>
      <c r="C200" s="72"/>
      <c r="D200" s="89" t="s">
        <v>138</v>
      </c>
      <c r="E200" s="74"/>
      <c r="F200" s="76"/>
      <c r="G200" s="170"/>
      <c r="H200" s="76"/>
    </row>
    <row r="201" spans="1:8">
      <c r="A201" s="70">
        <v>93</v>
      </c>
      <c r="B201" s="162" t="s">
        <v>520</v>
      </c>
      <c r="C201" s="159" t="s">
        <v>2147</v>
      </c>
      <c r="D201" s="4" t="s">
        <v>2148</v>
      </c>
      <c r="E201" s="155">
        <f>45300*1.07</f>
        <v>48471</v>
      </c>
      <c r="F201" s="101" t="s">
        <v>2132</v>
      </c>
      <c r="G201" s="171" t="s">
        <v>2149</v>
      </c>
      <c r="H201" s="80">
        <v>1</v>
      </c>
    </row>
    <row r="202" spans="1:8">
      <c r="A202" s="76"/>
      <c r="B202" s="71"/>
      <c r="C202" s="72"/>
      <c r="D202" s="4" t="s">
        <v>2150</v>
      </c>
      <c r="E202" s="86"/>
      <c r="F202" s="76"/>
      <c r="G202" s="170"/>
      <c r="H202" s="76"/>
    </row>
    <row r="203" spans="1:8">
      <c r="A203" s="70">
        <v>94</v>
      </c>
      <c r="B203" s="187" t="s">
        <v>698</v>
      </c>
      <c r="C203" s="159" t="s">
        <v>779</v>
      </c>
      <c r="D203" s="10" t="s">
        <v>2151</v>
      </c>
      <c r="E203" s="155">
        <f>29250*1.07</f>
        <v>31297.5</v>
      </c>
      <c r="F203" s="101" t="s">
        <v>2132</v>
      </c>
      <c r="G203" s="171" t="s">
        <v>2152</v>
      </c>
      <c r="H203" s="80">
        <v>1</v>
      </c>
    </row>
    <row r="204" spans="1:8">
      <c r="A204" s="76"/>
      <c r="B204" s="71"/>
      <c r="C204" s="72"/>
      <c r="D204" s="169"/>
      <c r="E204" s="74"/>
      <c r="F204" s="76"/>
      <c r="G204" s="170"/>
      <c r="H204" s="80"/>
    </row>
    <row r="205" spans="1:8" ht="30" customHeight="1">
      <c r="A205" s="336" t="s">
        <v>561</v>
      </c>
      <c r="B205" s="338" t="s">
        <v>0</v>
      </c>
      <c r="C205" s="341" t="s">
        <v>1</v>
      </c>
      <c r="D205" s="351" t="s">
        <v>2</v>
      </c>
      <c r="E205" s="336" t="s">
        <v>3</v>
      </c>
      <c r="F205" s="344" t="s">
        <v>4</v>
      </c>
      <c r="G205" s="341"/>
      <c r="H205" s="336" t="s">
        <v>5</v>
      </c>
    </row>
    <row r="206" spans="1:8" ht="52.5" customHeight="1">
      <c r="A206" s="337"/>
      <c r="B206" s="339"/>
      <c r="C206" s="341"/>
      <c r="D206" s="351"/>
      <c r="E206" s="337"/>
      <c r="F206" s="302" t="s">
        <v>6</v>
      </c>
      <c r="G206" s="301" t="s">
        <v>7</v>
      </c>
      <c r="H206" s="337"/>
    </row>
    <row r="207" spans="1:8">
      <c r="A207" s="70">
        <v>95</v>
      </c>
      <c r="B207" s="57" t="s">
        <v>54</v>
      </c>
      <c r="C207" s="159" t="s">
        <v>243</v>
      </c>
      <c r="D207" s="4" t="s">
        <v>2153</v>
      </c>
      <c r="E207" s="155">
        <f>10700*1.07</f>
        <v>11449</v>
      </c>
      <c r="F207" s="101" t="s">
        <v>2132</v>
      </c>
      <c r="G207" s="171" t="s">
        <v>2154</v>
      </c>
      <c r="H207" s="70">
        <v>1</v>
      </c>
    </row>
    <row r="208" spans="1:8">
      <c r="A208" s="76"/>
      <c r="B208" s="71"/>
      <c r="C208" s="72"/>
      <c r="D208" s="89" t="s">
        <v>207</v>
      </c>
      <c r="E208" s="74"/>
      <c r="F208" s="76"/>
      <c r="G208" s="170"/>
      <c r="H208" s="76"/>
    </row>
    <row r="209" spans="1:11">
      <c r="A209" s="70">
        <v>96</v>
      </c>
      <c r="B209" s="162" t="s">
        <v>854</v>
      </c>
      <c r="C209" s="159" t="s">
        <v>1310</v>
      </c>
      <c r="D209" s="4" t="s">
        <v>2155</v>
      </c>
      <c r="E209" s="155">
        <f>40615*1.07</f>
        <v>43458.05</v>
      </c>
      <c r="F209" s="101" t="s">
        <v>2132</v>
      </c>
      <c r="G209" s="171" t="s">
        <v>2156</v>
      </c>
      <c r="H209" s="70">
        <v>1</v>
      </c>
    </row>
    <row r="210" spans="1:11">
      <c r="A210" s="76"/>
      <c r="B210" s="71"/>
      <c r="C210" s="72"/>
      <c r="D210" s="89"/>
      <c r="E210" s="74"/>
      <c r="F210" s="76"/>
      <c r="G210" s="170"/>
      <c r="H210" s="76"/>
    </row>
    <row r="211" spans="1:11">
      <c r="A211" s="70">
        <v>97</v>
      </c>
      <c r="B211" s="307" t="s">
        <v>141</v>
      </c>
      <c r="C211" s="159" t="s">
        <v>142</v>
      </c>
      <c r="D211" s="4" t="s">
        <v>2157</v>
      </c>
      <c r="E211" s="155">
        <f>8876*1.07</f>
        <v>9497.32</v>
      </c>
      <c r="F211" s="101" t="s">
        <v>2132</v>
      </c>
      <c r="G211" s="171" t="s">
        <v>2158</v>
      </c>
      <c r="H211" s="80">
        <v>1</v>
      </c>
    </row>
    <row r="212" spans="1:11">
      <c r="A212" s="76"/>
      <c r="B212" s="71"/>
      <c r="C212" s="72"/>
      <c r="D212" s="89" t="s">
        <v>138</v>
      </c>
      <c r="E212" s="74"/>
      <c r="F212" s="76"/>
      <c r="G212" s="75"/>
      <c r="H212" s="76"/>
    </row>
    <row r="213" spans="1:11">
      <c r="A213" s="70">
        <v>98</v>
      </c>
      <c r="B213" s="95" t="s">
        <v>158</v>
      </c>
      <c r="C213" s="159" t="s">
        <v>159</v>
      </c>
      <c r="D213" s="4" t="s">
        <v>2159</v>
      </c>
      <c r="E213" s="155">
        <f>28158*1.07</f>
        <v>30129.06</v>
      </c>
      <c r="F213" s="101" t="s">
        <v>2132</v>
      </c>
      <c r="G213" s="171" t="s">
        <v>2160</v>
      </c>
      <c r="H213" s="80">
        <v>1</v>
      </c>
    </row>
    <row r="214" spans="1:11">
      <c r="A214" s="76"/>
      <c r="B214" s="71"/>
      <c r="C214" s="72"/>
      <c r="D214" s="89" t="s">
        <v>457</v>
      </c>
      <c r="E214" s="74"/>
      <c r="F214" s="76"/>
      <c r="G214" s="170"/>
      <c r="H214" s="76"/>
    </row>
    <row r="215" spans="1:11">
      <c r="A215" s="70">
        <v>99</v>
      </c>
      <c r="B215" s="22" t="s">
        <v>58</v>
      </c>
      <c r="C215" s="159" t="s">
        <v>270</v>
      </c>
      <c r="D215" s="4" t="s">
        <v>2161</v>
      </c>
      <c r="E215" s="155">
        <f>75300*1.07</f>
        <v>80571</v>
      </c>
      <c r="F215" s="101" t="s">
        <v>2132</v>
      </c>
      <c r="G215" s="171" t="s">
        <v>2162</v>
      </c>
      <c r="H215" s="80">
        <v>1</v>
      </c>
    </row>
    <row r="216" spans="1:11">
      <c r="A216" s="76"/>
      <c r="B216" s="81"/>
      <c r="C216" s="77"/>
      <c r="D216" s="82"/>
      <c r="E216" s="83"/>
      <c r="F216" s="80"/>
      <c r="G216" s="175"/>
      <c r="H216" s="80"/>
    </row>
    <row r="217" spans="1:11">
      <c r="A217" s="70">
        <v>100</v>
      </c>
      <c r="B217" s="28" t="s">
        <v>54</v>
      </c>
      <c r="C217" s="10" t="s">
        <v>243</v>
      </c>
      <c r="D217" s="152" t="s">
        <v>2163</v>
      </c>
      <c r="E217" s="151">
        <f>11800*1.07</f>
        <v>12626</v>
      </c>
      <c r="F217" s="101" t="s">
        <v>2132</v>
      </c>
      <c r="G217" s="26" t="s">
        <v>2164</v>
      </c>
      <c r="H217" s="70">
        <v>1</v>
      </c>
    </row>
    <row r="218" spans="1:11">
      <c r="A218" s="76"/>
      <c r="B218" s="71"/>
      <c r="C218" s="72"/>
      <c r="D218" s="89" t="s">
        <v>138</v>
      </c>
      <c r="E218" s="74"/>
      <c r="F218" s="76"/>
      <c r="G218" s="170"/>
      <c r="H218" s="76"/>
    </row>
    <row r="219" spans="1:11" ht="25.5" customHeight="1">
      <c r="A219" s="70">
        <v>101</v>
      </c>
      <c r="B219" s="24" t="s">
        <v>200</v>
      </c>
      <c r="C219" s="4" t="s">
        <v>201</v>
      </c>
      <c r="D219" s="167" t="s">
        <v>2368</v>
      </c>
      <c r="E219" s="112">
        <v>191530</v>
      </c>
      <c r="F219" s="101" t="s">
        <v>2132</v>
      </c>
      <c r="G219" s="322" t="s">
        <v>2369</v>
      </c>
      <c r="H219" s="70">
        <v>1</v>
      </c>
      <c r="K219" s="78"/>
    </row>
    <row r="220" spans="1:11" ht="25.5" customHeight="1">
      <c r="A220" s="76"/>
      <c r="B220" s="157"/>
      <c r="C220" s="128"/>
      <c r="D220" s="167" t="s">
        <v>2370</v>
      </c>
      <c r="E220" s="94"/>
      <c r="F220" s="80"/>
      <c r="G220" s="322"/>
      <c r="H220" s="76"/>
      <c r="K220" s="78"/>
    </row>
    <row r="221" spans="1:11">
      <c r="A221" s="70">
        <v>102</v>
      </c>
      <c r="B221" s="28" t="s">
        <v>9</v>
      </c>
      <c r="C221" s="10" t="s">
        <v>50</v>
      </c>
      <c r="D221" s="152" t="s">
        <v>2165</v>
      </c>
      <c r="E221" s="161">
        <f>980*1.07</f>
        <v>1048.6000000000001</v>
      </c>
      <c r="F221" s="101" t="s">
        <v>2166</v>
      </c>
      <c r="G221" s="13" t="s">
        <v>2167</v>
      </c>
      <c r="H221" s="70">
        <v>1</v>
      </c>
    </row>
    <row r="222" spans="1:11">
      <c r="A222" s="76"/>
      <c r="B222" s="85"/>
      <c r="C222" s="72"/>
      <c r="D222" s="89"/>
      <c r="E222" s="86"/>
      <c r="F222" s="178"/>
      <c r="G222" s="170"/>
      <c r="H222" s="76"/>
    </row>
    <row r="223" spans="1:11">
      <c r="A223" s="70">
        <v>103</v>
      </c>
      <c r="B223" s="22" t="s">
        <v>1723</v>
      </c>
      <c r="C223" s="10" t="s">
        <v>1724</v>
      </c>
      <c r="D223" s="152" t="s">
        <v>2168</v>
      </c>
      <c r="E223" s="151">
        <f>67289.72*1.07</f>
        <v>72000.000400000004</v>
      </c>
      <c r="F223" s="101" t="s">
        <v>2166</v>
      </c>
      <c r="G223" s="13" t="s">
        <v>2169</v>
      </c>
      <c r="H223" s="70">
        <v>1</v>
      </c>
    </row>
    <row r="224" spans="1:11">
      <c r="A224" s="76"/>
      <c r="B224" s="76"/>
      <c r="C224" s="17"/>
      <c r="D224" s="18" t="s">
        <v>2170</v>
      </c>
      <c r="E224" s="74"/>
      <c r="F224" s="76"/>
      <c r="G224" s="170"/>
      <c r="H224" s="76"/>
    </row>
    <row r="225" spans="1:11">
      <c r="A225" s="70">
        <v>104</v>
      </c>
      <c r="B225" s="36" t="s">
        <v>14</v>
      </c>
      <c r="C225" s="159" t="s">
        <v>15</v>
      </c>
      <c r="D225" s="163" t="s">
        <v>2171</v>
      </c>
      <c r="E225" s="155">
        <f>2650*1.07</f>
        <v>2835.5</v>
      </c>
      <c r="F225" s="116" t="s">
        <v>2166</v>
      </c>
      <c r="G225" s="171" t="s">
        <v>2172</v>
      </c>
      <c r="H225" s="70">
        <v>1</v>
      </c>
    </row>
    <row r="226" spans="1:11">
      <c r="A226" s="76"/>
      <c r="B226" s="81"/>
      <c r="C226" s="77"/>
      <c r="D226" s="2"/>
      <c r="E226" s="83"/>
      <c r="F226" s="80"/>
      <c r="G226" s="175"/>
      <c r="H226" s="76"/>
    </row>
    <row r="227" spans="1:11">
      <c r="A227" s="70">
        <v>105</v>
      </c>
      <c r="B227" s="126" t="s">
        <v>183</v>
      </c>
      <c r="C227" s="10" t="s">
        <v>184</v>
      </c>
      <c r="D227" s="152" t="s">
        <v>2173</v>
      </c>
      <c r="E227" s="151">
        <f>26685*1.07</f>
        <v>28552.95</v>
      </c>
      <c r="F227" s="101" t="s">
        <v>2166</v>
      </c>
      <c r="G227" s="13" t="s">
        <v>2174</v>
      </c>
      <c r="H227" s="70">
        <v>1</v>
      </c>
    </row>
    <row r="228" spans="1:11">
      <c r="A228" s="76"/>
      <c r="B228" s="71"/>
      <c r="C228" s="72"/>
      <c r="D228" s="89"/>
      <c r="E228" s="74"/>
      <c r="F228" s="76"/>
      <c r="G228" s="170"/>
      <c r="H228" s="76"/>
    </row>
    <row r="229" spans="1:11">
      <c r="A229" s="70">
        <v>106</v>
      </c>
      <c r="B229" s="22" t="s">
        <v>58</v>
      </c>
      <c r="C229" s="159" t="s">
        <v>270</v>
      </c>
      <c r="D229" s="163" t="s">
        <v>2175</v>
      </c>
      <c r="E229" s="155">
        <f>5820*1.07</f>
        <v>6227.4000000000005</v>
      </c>
      <c r="F229" s="116" t="s">
        <v>2166</v>
      </c>
      <c r="G229" s="171" t="s">
        <v>2176</v>
      </c>
      <c r="H229" s="70">
        <v>1</v>
      </c>
    </row>
    <row r="230" spans="1:11">
      <c r="A230" s="76"/>
      <c r="B230" s="81"/>
      <c r="C230" s="77"/>
      <c r="D230" s="82"/>
      <c r="E230" s="83"/>
      <c r="F230" s="80"/>
      <c r="G230" s="84"/>
      <c r="H230" s="80"/>
    </row>
    <row r="231" spans="1:11">
      <c r="A231" s="70">
        <v>107</v>
      </c>
      <c r="B231" s="28" t="s">
        <v>54</v>
      </c>
      <c r="C231" s="10" t="s">
        <v>243</v>
      </c>
      <c r="D231" s="211" t="s">
        <v>2177</v>
      </c>
      <c r="E231" s="151">
        <f>4732*1.07</f>
        <v>5063.2400000000007</v>
      </c>
      <c r="F231" s="101" t="s">
        <v>2166</v>
      </c>
      <c r="G231" s="26" t="s">
        <v>2178</v>
      </c>
      <c r="H231" s="70">
        <v>1</v>
      </c>
    </row>
    <row r="232" spans="1:11">
      <c r="A232" s="76"/>
      <c r="B232" s="76"/>
      <c r="C232" s="72"/>
      <c r="D232" s="89" t="s">
        <v>19</v>
      </c>
      <c r="E232" s="74"/>
      <c r="F232" s="76"/>
      <c r="G232" s="75"/>
      <c r="H232" s="76"/>
    </row>
    <row r="233" spans="1:11" ht="25.5" customHeight="1">
      <c r="A233" s="70">
        <v>108</v>
      </c>
      <c r="B233" s="22" t="s">
        <v>1098</v>
      </c>
      <c r="C233" s="123" t="s">
        <v>2371</v>
      </c>
      <c r="D233" s="241" t="s">
        <v>2372</v>
      </c>
      <c r="E233" s="208">
        <v>721180</v>
      </c>
      <c r="F233" s="101" t="s">
        <v>2166</v>
      </c>
      <c r="G233" s="328" t="s">
        <v>2373</v>
      </c>
      <c r="H233" s="70">
        <v>1</v>
      </c>
      <c r="K233" s="78"/>
    </row>
    <row r="234" spans="1:11" ht="25.5" customHeight="1">
      <c r="A234" s="76"/>
      <c r="B234" s="76"/>
      <c r="C234" s="124"/>
      <c r="D234" s="169" t="s">
        <v>123</v>
      </c>
      <c r="E234" s="104"/>
      <c r="F234" s="76"/>
      <c r="G234" s="320"/>
      <c r="H234" s="76"/>
      <c r="K234" s="78"/>
    </row>
    <row r="235" spans="1:11">
      <c r="A235" s="70">
        <v>109</v>
      </c>
      <c r="B235" s="22" t="s">
        <v>1536</v>
      </c>
      <c r="C235" s="4" t="s">
        <v>132</v>
      </c>
      <c r="D235" s="10" t="s">
        <v>2179</v>
      </c>
      <c r="E235" s="205">
        <f>4500*1.07</f>
        <v>4815</v>
      </c>
      <c r="F235" s="101" t="s">
        <v>2180</v>
      </c>
      <c r="G235" s="171" t="s">
        <v>2181</v>
      </c>
      <c r="H235" s="70">
        <v>1</v>
      </c>
    </row>
    <row r="236" spans="1:11">
      <c r="A236" s="76"/>
      <c r="B236" s="80"/>
      <c r="C236" s="78"/>
      <c r="D236" s="167"/>
      <c r="E236" s="257"/>
      <c r="F236" s="80"/>
      <c r="G236" s="175"/>
      <c r="H236" s="76"/>
    </row>
    <row r="237" spans="1:11">
      <c r="A237" s="70">
        <v>110</v>
      </c>
      <c r="B237" s="22" t="s">
        <v>1032</v>
      </c>
      <c r="C237" s="152" t="s">
        <v>1033</v>
      </c>
      <c r="D237" s="10" t="s">
        <v>2182</v>
      </c>
      <c r="E237" s="205">
        <f>34975*1.07</f>
        <v>37423.25</v>
      </c>
      <c r="F237" s="101" t="s">
        <v>2180</v>
      </c>
      <c r="G237" s="13" t="s">
        <v>2183</v>
      </c>
      <c r="H237" s="70">
        <v>1</v>
      </c>
    </row>
    <row r="238" spans="1:11">
      <c r="A238" s="76"/>
      <c r="B238" s="76"/>
      <c r="C238" s="73"/>
      <c r="D238" s="304"/>
      <c r="E238" s="206"/>
      <c r="F238" s="76"/>
      <c r="G238" s="170"/>
      <c r="H238" s="76"/>
      <c r="I238" s="78"/>
    </row>
    <row r="239" spans="1:11" ht="30" customHeight="1">
      <c r="A239" s="336" t="s">
        <v>561</v>
      </c>
      <c r="B239" s="338" t="s">
        <v>0</v>
      </c>
      <c r="C239" s="341" t="s">
        <v>1</v>
      </c>
      <c r="D239" s="351" t="s">
        <v>2</v>
      </c>
      <c r="E239" s="336" t="s">
        <v>3</v>
      </c>
      <c r="F239" s="344" t="s">
        <v>4</v>
      </c>
      <c r="G239" s="341"/>
      <c r="H239" s="336" t="s">
        <v>5</v>
      </c>
    </row>
    <row r="240" spans="1:11" ht="52.5" customHeight="1">
      <c r="A240" s="337"/>
      <c r="B240" s="339"/>
      <c r="C240" s="341"/>
      <c r="D240" s="351"/>
      <c r="E240" s="337"/>
      <c r="F240" s="302" t="s">
        <v>6</v>
      </c>
      <c r="G240" s="301" t="s">
        <v>7</v>
      </c>
      <c r="H240" s="337"/>
    </row>
    <row r="241" spans="1:12">
      <c r="A241" s="80">
        <v>111</v>
      </c>
      <c r="B241" s="131" t="s">
        <v>2184</v>
      </c>
      <c r="C241" s="152" t="s">
        <v>475</v>
      </c>
      <c r="D241" s="10" t="s">
        <v>2185</v>
      </c>
      <c r="E241" s="205">
        <f>76190*1.07</f>
        <v>81523.3</v>
      </c>
      <c r="F241" s="101" t="s">
        <v>2180</v>
      </c>
      <c r="G241" s="171" t="s">
        <v>2186</v>
      </c>
      <c r="H241" s="70">
        <v>1</v>
      </c>
    </row>
    <row r="242" spans="1:12">
      <c r="A242" s="76"/>
      <c r="B242" s="76"/>
      <c r="C242" s="18"/>
      <c r="D242" s="169" t="s">
        <v>226</v>
      </c>
      <c r="E242" s="206"/>
      <c r="F242" s="76"/>
      <c r="G242" s="170"/>
      <c r="H242" s="76"/>
    </row>
    <row r="243" spans="1:12">
      <c r="A243" s="70">
        <v>112</v>
      </c>
      <c r="B243" s="28" t="s">
        <v>54</v>
      </c>
      <c r="C243" s="4" t="s">
        <v>55</v>
      </c>
      <c r="D243" s="159" t="s">
        <v>2187</v>
      </c>
      <c r="E243" s="224">
        <f>11190*1.07</f>
        <v>11973.300000000001</v>
      </c>
      <c r="F243" s="101" t="s">
        <v>2180</v>
      </c>
      <c r="G243" s="171" t="s">
        <v>2188</v>
      </c>
      <c r="H243" s="70">
        <v>1</v>
      </c>
    </row>
    <row r="244" spans="1:12">
      <c r="A244" s="76"/>
      <c r="B244" s="80"/>
      <c r="C244" s="78"/>
      <c r="D244" s="169" t="s">
        <v>19</v>
      </c>
      <c r="E244" s="257"/>
      <c r="F244" s="80"/>
      <c r="G244" s="175"/>
      <c r="H244" s="76"/>
    </row>
    <row r="245" spans="1:12">
      <c r="A245" s="80">
        <v>113</v>
      </c>
      <c r="B245" s="22" t="s">
        <v>2189</v>
      </c>
      <c r="C245" s="152" t="s">
        <v>2190</v>
      </c>
      <c r="D245" s="10" t="s">
        <v>2191</v>
      </c>
      <c r="E245" s="205">
        <f>2960.7*1.07</f>
        <v>3167.9490000000001</v>
      </c>
      <c r="F245" s="101" t="s">
        <v>2180</v>
      </c>
      <c r="G245" s="13" t="s">
        <v>2192</v>
      </c>
      <c r="H245" s="70">
        <v>1</v>
      </c>
    </row>
    <row r="246" spans="1:12">
      <c r="A246" s="76"/>
      <c r="B246" s="76"/>
      <c r="C246" s="73"/>
      <c r="D246" s="169" t="s">
        <v>207</v>
      </c>
      <c r="E246" s="206"/>
      <c r="F246" s="76"/>
      <c r="G246" s="170"/>
      <c r="H246" s="76"/>
    </row>
    <row r="247" spans="1:12">
      <c r="A247" s="70">
        <v>114</v>
      </c>
      <c r="B247" s="105" t="s">
        <v>100</v>
      </c>
      <c r="C247" s="4" t="s">
        <v>101</v>
      </c>
      <c r="D247" s="159" t="s">
        <v>2193</v>
      </c>
      <c r="E247" s="1">
        <f>80000*1.07</f>
        <v>85600</v>
      </c>
      <c r="F247" s="101" t="s">
        <v>2194</v>
      </c>
      <c r="G247" s="171" t="s">
        <v>2195</v>
      </c>
      <c r="H247" s="70">
        <v>1</v>
      </c>
    </row>
    <row r="248" spans="1:12">
      <c r="A248" s="76"/>
      <c r="B248" s="220"/>
      <c r="C248" s="78"/>
      <c r="D248" s="167" t="s">
        <v>138</v>
      </c>
      <c r="E248" s="290"/>
      <c r="F248" s="220"/>
      <c r="G248" s="175"/>
      <c r="H248" s="80"/>
    </row>
    <row r="249" spans="1:12">
      <c r="A249" s="80">
        <v>115</v>
      </c>
      <c r="B249" s="22" t="s">
        <v>971</v>
      </c>
      <c r="C249" s="152" t="s">
        <v>481</v>
      </c>
      <c r="D249" s="10" t="s">
        <v>2196</v>
      </c>
      <c r="E249" s="11">
        <f>68900*1.07</f>
        <v>73723</v>
      </c>
      <c r="F249" s="101" t="s">
        <v>2194</v>
      </c>
      <c r="G249" s="13" t="s">
        <v>2197</v>
      </c>
      <c r="H249" s="70">
        <v>1</v>
      </c>
    </row>
    <row r="250" spans="1:12">
      <c r="A250" s="76"/>
      <c r="B250" s="76"/>
      <c r="C250" s="73"/>
      <c r="D250" s="169" t="s">
        <v>19</v>
      </c>
      <c r="E250" s="297"/>
      <c r="F250" s="72"/>
      <c r="G250" s="76"/>
      <c r="H250" s="72"/>
    </row>
    <row r="251" spans="1:12">
      <c r="A251" s="70">
        <v>116</v>
      </c>
      <c r="B251" s="28" t="s">
        <v>54</v>
      </c>
      <c r="C251" s="4" t="s">
        <v>55</v>
      </c>
      <c r="D251" s="186" t="s">
        <v>2198</v>
      </c>
      <c r="E251" s="1">
        <f>24750*1.07</f>
        <v>26482.5</v>
      </c>
      <c r="F251" s="101" t="s">
        <v>2194</v>
      </c>
      <c r="G251" s="171" t="s">
        <v>2199</v>
      </c>
      <c r="H251" s="70">
        <v>1</v>
      </c>
    </row>
    <row r="252" spans="1:12">
      <c r="A252" s="76"/>
      <c r="B252" s="76"/>
      <c r="C252" s="73"/>
      <c r="D252" s="169" t="s">
        <v>2200</v>
      </c>
      <c r="E252" s="206"/>
      <c r="F252" s="76"/>
      <c r="G252" s="170"/>
      <c r="H252" s="76"/>
    </row>
    <row r="253" spans="1:12">
      <c r="A253" s="80">
        <v>117</v>
      </c>
      <c r="B253" s="28" t="s">
        <v>54</v>
      </c>
      <c r="C253" s="4" t="s">
        <v>243</v>
      </c>
      <c r="D253" s="186" t="s">
        <v>2201</v>
      </c>
      <c r="E253" s="1">
        <f>8720*1.07</f>
        <v>9330.4</v>
      </c>
      <c r="F253" s="101" t="s">
        <v>2194</v>
      </c>
      <c r="G253" s="171" t="s">
        <v>2202</v>
      </c>
      <c r="H253" s="70">
        <v>1</v>
      </c>
    </row>
    <row r="254" spans="1:12">
      <c r="A254" s="76"/>
      <c r="B254" s="178"/>
      <c r="C254" s="73"/>
      <c r="D254" s="188" t="s">
        <v>2203</v>
      </c>
      <c r="E254" s="292"/>
      <c r="F254" s="178"/>
      <c r="G254" s="170"/>
      <c r="H254" s="76"/>
    </row>
    <row r="255" spans="1:12">
      <c r="A255" s="70">
        <v>118</v>
      </c>
      <c r="B255" s="131" t="s">
        <v>170</v>
      </c>
      <c r="C255" s="4" t="s">
        <v>171</v>
      </c>
      <c r="D255" s="159" t="s">
        <v>2204</v>
      </c>
      <c r="E255" s="1">
        <f>47100*1.07</f>
        <v>50397</v>
      </c>
      <c r="F255" s="101" t="s">
        <v>2194</v>
      </c>
      <c r="G255" s="171" t="s">
        <v>2205</v>
      </c>
      <c r="H255" s="70">
        <v>1</v>
      </c>
      <c r="L255" s="78"/>
    </row>
    <row r="256" spans="1:12">
      <c r="A256" s="76"/>
      <c r="B256" s="76"/>
      <c r="C256" s="73"/>
      <c r="D256" s="169" t="s">
        <v>19</v>
      </c>
      <c r="E256" s="206"/>
      <c r="F256" s="204"/>
      <c r="G256" s="71"/>
      <c r="H256" s="76"/>
    </row>
    <row r="257" spans="1:8">
      <c r="A257" s="80">
        <v>119</v>
      </c>
      <c r="B257" s="24" t="s">
        <v>183</v>
      </c>
      <c r="C257" s="4" t="s">
        <v>70</v>
      </c>
      <c r="D257" s="186" t="s">
        <v>2206</v>
      </c>
      <c r="E257" s="1">
        <f>48375*1.07</f>
        <v>51761.25</v>
      </c>
      <c r="F257" s="101" t="s">
        <v>2194</v>
      </c>
      <c r="G257" s="171" t="s">
        <v>2207</v>
      </c>
      <c r="H257" s="70">
        <v>1</v>
      </c>
    </row>
    <row r="258" spans="1:8">
      <c r="A258" s="76"/>
      <c r="B258" s="80"/>
      <c r="C258" s="78"/>
      <c r="D258" s="167" t="s">
        <v>2208</v>
      </c>
      <c r="E258" s="257"/>
      <c r="F258" s="80"/>
      <c r="G258" s="80"/>
      <c r="H258" s="80"/>
    </row>
    <row r="259" spans="1:8">
      <c r="A259" s="70">
        <v>120</v>
      </c>
      <c r="B259" s="24" t="s">
        <v>183</v>
      </c>
      <c r="C259" s="152" t="s">
        <v>70</v>
      </c>
      <c r="D259" s="10" t="s">
        <v>2209</v>
      </c>
      <c r="E259" s="173">
        <f>16515*1.07</f>
        <v>17671.05</v>
      </c>
      <c r="F259" s="101" t="s">
        <v>2194</v>
      </c>
      <c r="G259" s="13" t="s">
        <v>2210</v>
      </c>
      <c r="H259" s="70">
        <v>1</v>
      </c>
    </row>
    <row r="260" spans="1:8">
      <c r="A260" s="76"/>
      <c r="B260" s="76"/>
      <c r="C260" s="73"/>
      <c r="D260" s="169"/>
      <c r="E260" s="74"/>
      <c r="F260" s="76"/>
      <c r="G260" s="76"/>
      <c r="H260" s="76"/>
    </row>
    <row r="261" spans="1:8" s="303" customFormat="1">
      <c r="A261" s="80">
        <v>121</v>
      </c>
      <c r="B261" s="24" t="s">
        <v>183</v>
      </c>
      <c r="C261" s="4" t="s">
        <v>184</v>
      </c>
      <c r="D261" s="159" t="s">
        <v>2211</v>
      </c>
      <c r="E261" s="1">
        <f>6570*1.07</f>
        <v>7029.9000000000005</v>
      </c>
      <c r="F261" s="101" t="s">
        <v>2194</v>
      </c>
      <c r="G261" s="171" t="s">
        <v>2212</v>
      </c>
      <c r="H261" s="70">
        <v>1</v>
      </c>
    </row>
    <row r="262" spans="1:8">
      <c r="A262" s="76"/>
      <c r="B262" s="157"/>
      <c r="C262" s="323"/>
      <c r="D262" s="167"/>
      <c r="E262" s="257"/>
      <c r="F262" s="80"/>
      <c r="G262" s="175"/>
      <c r="H262" s="80"/>
    </row>
    <row r="263" spans="1:8">
      <c r="A263" s="70">
        <v>122</v>
      </c>
      <c r="B263" s="22" t="s">
        <v>1138</v>
      </c>
      <c r="C263" s="152" t="s">
        <v>2213</v>
      </c>
      <c r="D263" s="10" t="s">
        <v>2214</v>
      </c>
      <c r="E263" s="11">
        <f>52500*1.07</f>
        <v>56175</v>
      </c>
      <c r="F263" s="101" t="s">
        <v>2194</v>
      </c>
      <c r="G263" s="231" t="s">
        <v>2215</v>
      </c>
      <c r="H263" s="70">
        <v>1</v>
      </c>
    </row>
    <row r="264" spans="1:8">
      <c r="A264" s="76"/>
      <c r="B264" s="76"/>
      <c r="C264" s="73"/>
      <c r="D264" s="169" t="s">
        <v>2216</v>
      </c>
      <c r="E264" s="206"/>
      <c r="F264" s="76"/>
      <c r="G264" s="232"/>
      <c r="H264" s="76"/>
    </row>
    <row r="265" spans="1:8">
      <c r="A265" s="80">
        <v>123</v>
      </c>
      <c r="B265" s="305" t="s">
        <v>27</v>
      </c>
      <c r="C265" s="4" t="s">
        <v>28</v>
      </c>
      <c r="D265" s="159" t="s">
        <v>2217</v>
      </c>
      <c r="E265" s="1">
        <f>37000*1.07</f>
        <v>39590</v>
      </c>
      <c r="F265" s="101" t="s">
        <v>2218</v>
      </c>
      <c r="G265" s="294" t="s">
        <v>2219</v>
      </c>
      <c r="H265" s="70">
        <v>1</v>
      </c>
    </row>
    <row r="266" spans="1:8">
      <c r="A266" s="76"/>
      <c r="B266" s="76"/>
      <c r="C266" s="115"/>
      <c r="D266" s="169"/>
      <c r="E266" s="206"/>
      <c r="F266" s="76"/>
      <c r="G266" s="320"/>
      <c r="H266" s="76"/>
    </row>
    <row r="267" spans="1:8">
      <c r="A267" s="70">
        <v>124</v>
      </c>
      <c r="B267" s="105" t="s">
        <v>100</v>
      </c>
      <c r="C267" s="4" t="s">
        <v>101</v>
      </c>
      <c r="D267" s="159" t="s">
        <v>2220</v>
      </c>
      <c r="E267" s="1">
        <f>90000*1.07</f>
        <v>96300</v>
      </c>
      <c r="F267" s="101" t="s">
        <v>2218</v>
      </c>
      <c r="G267" s="294" t="s">
        <v>2221</v>
      </c>
      <c r="H267" s="70">
        <v>1</v>
      </c>
    </row>
    <row r="268" spans="1:8">
      <c r="A268" s="76"/>
      <c r="B268" s="76"/>
      <c r="C268" s="115"/>
      <c r="D268" s="72"/>
      <c r="E268" s="206"/>
      <c r="F268" s="76"/>
      <c r="G268" s="320"/>
      <c r="H268" s="76"/>
    </row>
    <row r="269" spans="1:8">
      <c r="A269" s="80">
        <v>125</v>
      </c>
      <c r="B269" s="133" t="s">
        <v>508</v>
      </c>
      <c r="C269" s="4" t="s">
        <v>509</v>
      </c>
      <c r="D269" s="159" t="s">
        <v>2222</v>
      </c>
      <c r="E269" s="1">
        <f>76500*1.07</f>
        <v>81855</v>
      </c>
      <c r="F269" s="101" t="s">
        <v>2218</v>
      </c>
      <c r="G269" s="294" t="s">
        <v>2223</v>
      </c>
      <c r="H269" s="70">
        <v>1</v>
      </c>
    </row>
    <row r="270" spans="1:8">
      <c r="A270" s="76"/>
      <c r="B270" s="178"/>
      <c r="C270" s="115"/>
      <c r="D270" s="169" t="s">
        <v>138</v>
      </c>
      <c r="E270" s="206"/>
      <c r="F270" s="76"/>
      <c r="G270" s="320"/>
      <c r="H270" s="76"/>
    </row>
    <row r="271" spans="1:8">
      <c r="A271" s="70">
        <v>126</v>
      </c>
      <c r="B271" s="305" t="s">
        <v>27</v>
      </c>
      <c r="C271" s="4" t="s">
        <v>28</v>
      </c>
      <c r="D271" s="159" t="s">
        <v>2224</v>
      </c>
      <c r="E271" s="1">
        <f>50050*1.07</f>
        <v>53553.5</v>
      </c>
      <c r="F271" s="101" t="s">
        <v>2218</v>
      </c>
      <c r="G271" s="294" t="s">
        <v>2225</v>
      </c>
      <c r="H271" s="70">
        <v>1</v>
      </c>
    </row>
    <row r="272" spans="1:8">
      <c r="A272" s="76"/>
      <c r="B272" s="76"/>
      <c r="C272" s="115"/>
      <c r="D272" s="169" t="s">
        <v>138</v>
      </c>
      <c r="E272" s="206"/>
      <c r="F272" s="76"/>
      <c r="G272" s="232"/>
      <c r="H272" s="76"/>
    </row>
    <row r="273" spans="1:8" ht="30" customHeight="1">
      <c r="A273" s="336" t="s">
        <v>561</v>
      </c>
      <c r="B273" s="347" t="s">
        <v>0</v>
      </c>
      <c r="C273" s="351" t="s">
        <v>1</v>
      </c>
      <c r="D273" s="341" t="s">
        <v>2</v>
      </c>
      <c r="E273" s="342" t="s">
        <v>3</v>
      </c>
      <c r="F273" s="344" t="s">
        <v>4</v>
      </c>
      <c r="G273" s="341"/>
      <c r="H273" s="336" t="s">
        <v>5</v>
      </c>
    </row>
    <row r="274" spans="1:8" ht="52.5" customHeight="1">
      <c r="A274" s="337"/>
      <c r="B274" s="348"/>
      <c r="C274" s="351"/>
      <c r="D274" s="341"/>
      <c r="E274" s="343"/>
      <c r="F274" s="302" t="s">
        <v>6</v>
      </c>
      <c r="G274" s="301" t="s">
        <v>7</v>
      </c>
      <c r="H274" s="337"/>
    </row>
    <row r="275" spans="1:8">
      <c r="A275" s="70">
        <v>127</v>
      </c>
      <c r="B275" s="307" t="s">
        <v>141</v>
      </c>
      <c r="C275" s="4" t="s">
        <v>142</v>
      </c>
      <c r="D275" s="159" t="s">
        <v>2226</v>
      </c>
      <c r="E275" s="1">
        <f>23280*1.07</f>
        <v>24909.600000000002</v>
      </c>
      <c r="F275" s="101" t="s">
        <v>2218</v>
      </c>
      <c r="G275" s="134" t="s">
        <v>2227</v>
      </c>
      <c r="H275" s="181">
        <v>1</v>
      </c>
    </row>
    <row r="276" spans="1:8">
      <c r="A276" s="76"/>
      <c r="B276" s="76"/>
      <c r="C276" s="73"/>
      <c r="D276" s="169" t="s">
        <v>543</v>
      </c>
      <c r="E276" s="206"/>
      <c r="F276" s="76"/>
      <c r="G276" s="76"/>
      <c r="H276" s="170"/>
    </row>
    <row r="277" spans="1:8">
      <c r="A277" s="70">
        <v>128</v>
      </c>
      <c r="B277" s="131" t="s">
        <v>1189</v>
      </c>
      <c r="C277" s="4" t="s">
        <v>1190</v>
      </c>
      <c r="D277" s="159" t="s">
        <v>2228</v>
      </c>
      <c r="E277" s="1">
        <f>23600*1.07</f>
        <v>25252</v>
      </c>
      <c r="F277" s="101" t="s">
        <v>2218</v>
      </c>
      <c r="G277" s="157" t="s">
        <v>2229</v>
      </c>
      <c r="H277" s="181">
        <v>1</v>
      </c>
    </row>
    <row r="278" spans="1:8">
      <c r="A278" s="76"/>
      <c r="B278" s="76"/>
      <c r="C278" s="73"/>
      <c r="D278" s="169" t="s">
        <v>138</v>
      </c>
      <c r="E278" s="104"/>
      <c r="F278" s="76"/>
      <c r="G278" s="76"/>
      <c r="H278" s="170"/>
    </row>
    <row r="279" spans="1:8">
      <c r="A279" s="70">
        <v>129</v>
      </c>
      <c r="B279" s="134" t="s">
        <v>1439</v>
      </c>
      <c r="C279" s="152" t="s">
        <v>163</v>
      </c>
      <c r="D279" s="10" t="s">
        <v>2230</v>
      </c>
      <c r="E279" s="291">
        <f>560*1.07</f>
        <v>599.20000000000005</v>
      </c>
      <c r="F279" s="101" t="s">
        <v>2218</v>
      </c>
      <c r="G279" s="134" t="s">
        <v>2231</v>
      </c>
      <c r="H279" s="181">
        <v>1</v>
      </c>
    </row>
    <row r="280" spans="1:8">
      <c r="A280" s="76"/>
      <c r="B280" s="76"/>
      <c r="C280" s="73"/>
      <c r="D280" s="17"/>
      <c r="E280" s="104"/>
      <c r="F280" s="76"/>
      <c r="G280" s="76"/>
      <c r="H280" s="170"/>
    </row>
    <row r="281" spans="1:8">
      <c r="A281" s="70">
        <v>130</v>
      </c>
      <c r="B281" s="57" t="s">
        <v>9</v>
      </c>
      <c r="C281" s="4" t="s">
        <v>50</v>
      </c>
      <c r="D281" s="159" t="s">
        <v>2232</v>
      </c>
      <c r="E281" s="1">
        <f>1240*1.07</f>
        <v>1326.8000000000002</v>
      </c>
      <c r="F281" s="116" t="s">
        <v>2218</v>
      </c>
      <c r="G281" s="157" t="s">
        <v>2233</v>
      </c>
      <c r="H281" s="181">
        <v>1</v>
      </c>
    </row>
    <row r="282" spans="1:8">
      <c r="A282" s="76"/>
      <c r="B282" s="76"/>
      <c r="C282" s="73"/>
      <c r="D282" s="169" t="s">
        <v>138</v>
      </c>
      <c r="E282" s="104"/>
      <c r="F282" s="76"/>
      <c r="G282" s="76"/>
      <c r="H282" s="170"/>
    </row>
    <row r="283" spans="1:8">
      <c r="A283" s="70">
        <v>131</v>
      </c>
      <c r="B283" s="22" t="s">
        <v>435</v>
      </c>
      <c r="C283" s="4" t="s">
        <v>436</v>
      </c>
      <c r="D283" s="186" t="s">
        <v>2234</v>
      </c>
      <c r="E283" s="1">
        <f>15800*1.07</f>
        <v>16906</v>
      </c>
      <c r="F283" s="101" t="s">
        <v>2218</v>
      </c>
      <c r="G283" s="157" t="s">
        <v>2235</v>
      </c>
      <c r="H283" s="175">
        <v>1</v>
      </c>
    </row>
    <row r="284" spans="1:8">
      <c r="A284" s="76"/>
      <c r="B284" s="80"/>
      <c r="C284" s="78"/>
      <c r="D284" s="159" t="s">
        <v>2236</v>
      </c>
      <c r="E284" s="257"/>
      <c r="F284" s="80"/>
      <c r="G284" s="80"/>
      <c r="H284" s="170"/>
    </row>
    <row r="285" spans="1:8">
      <c r="A285" s="70">
        <v>132</v>
      </c>
      <c r="B285" s="24" t="s">
        <v>158</v>
      </c>
      <c r="C285" s="152" t="s">
        <v>159</v>
      </c>
      <c r="D285" s="10" t="s">
        <v>2237</v>
      </c>
      <c r="E285" s="11">
        <f>9500*1.07</f>
        <v>10165</v>
      </c>
      <c r="F285" s="101" t="s">
        <v>2218</v>
      </c>
      <c r="G285" s="134" t="s">
        <v>2238</v>
      </c>
      <c r="H285" s="181">
        <v>1</v>
      </c>
    </row>
    <row r="286" spans="1:8">
      <c r="A286" s="76"/>
      <c r="B286" s="237"/>
      <c r="C286" s="18"/>
      <c r="D286" s="17" t="s">
        <v>2239</v>
      </c>
      <c r="E286" s="104"/>
      <c r="F286" s="76"/>
      <c r="G286" s="76"/>
      <c r="H286" s="170"/>
    </row>
    <row r="287" spans="1:8">
      <c r="A287" s="70">
        <v>133</v>
      </c>
      <c r="B287" s="131" t="s">
        <v>115</v>
      </c>
      <c r="C287" s="4" t="s">
        <v>116</v>
      </c>
      <c r="D287" s="159" t="s">
        <v>2240</v>
      </c>
      <c r="E287" s="1">
        <f>68800*1.07</f>
        <v>73616</v>
      </c>
      <c r="F287" s="116" t="s">
        <v>2218</v>
      </c>
      <c r="G287" s="157" t="s">
        <v>2241</v>
      </c>
      <c r="H287" s="181">
        <v>1</v>
      </c>
    </row>
    <row r="288" spans="1:8">
      <c r="A288" s="76"/>
      <c r="B288" s="76"/>
      <c r="C288" s="73"/>
      <c r="D288" s="159" t="s">
        <v>2242</v>
      </c>
      <c r="E288" s="206"/>
      <c r="F288" s="76"/>
      <c r="G288" s="76"/>
      <c r="H288" s="170"/>
    </row>
    <row r="289" spans="1:13">
      <c r="A289" s="70">
        <v>134</v>
      </c>
      <c r="B289" s="36" t="s">
        <v>14</v>
      </c>
      <c r="C289" s="4" t="s">
        <v>15</v>
      </c>
      <c r="D289" s="172" t="s">
        <v>2243</v>
      </c>
      <c r="E289" s="1">
        <f>55206*1.07</f>
        <v>59070.420000000006</v>
      </c>
      <c r="F289" s="101" t="s">
        <v>2218</v>
      </c>
      <c r="G289" s="157" t="s">
        <v>2244</v>
      </c>
      <c r="H289" s="181">
        <v>1</v>
      </c>
    </row>
    <row r="290" spans="1:13">
      <c r="A290" s="76"/>
      <c r="B290" s="76"/>
      <c r="C290" s="18"/>
      <c r="D290" s="169" t="s">
        <v>636</v>
      </c>
      <c r="E290" s="104"/>
      <c r="F290" s="76"/>
      <c r="G290" s="76"/>
      <c r="H290" s="170"/>
    </row>
    <row r="291" spans="1:13">
      <c r="A291" s="70">
        <v>135</v>
      </c>
      <c r="B291" s="187" t="s">
        <v>698</v>
      </c>
      <c r="C291" s="4" t="s">
        <v>779</v>
      </c>
      <c r="D291" s="159" t="s">
        <v>2245</v>
      </c>
      <c r="E291" s="1">
        <f>19750*1.07</f>
        <v>21132.5</v>
      </c>
      <c r="F291" s="101" t="s">
        <v>2218</v>
      </c>
      <c r="G291" s="157" t="s">
        <v>2246</v>
      </c>
      <c r="H291" s="181">
        <v>1</v>
      </c>
    </row>
    <row r="292" spans="1:13">
      <c r="A292" s="76"/>
      <c r="B292" s="80"/>
      <c r="C292" s="73"/>
      <c r="D292" s="222" t="s">
        <v>2247</v>
      </c>
      <c r="E292" s="206"/>
      <c r="F292" s="76"/>
      <c r="G292" s="76"/>
      <c r="H292" s="175"/>
      <c r="K292" s="78"/>
      <c r="M292" s="78"/>
    </row>
    <row r="293" spans="1:13">
      <c r="A293" s="70">
        <v>136</v>
      </c>
      <c r="B293" s="28" t="s">
        <v>54</v>
      </c>
      <c r="C293" s="4" t="s">
        <v>243</v>
      </c>
      <c r="D293" s="10" t="s">
        <v>2248</v>
      </c>
      <c r="E293" s="1">
        <f>26415*1.07</f>
        <v>28264.050000000003</v>
      </c>
      <c r="F293" s="101" t="s">
        <v>2218</v>
      </c>
      <c r="G293" s="157" t="s">
        <v>2249</v>
      </c>
      <c r="H293" s="181">
        <v>1</v>
      </c>
      <c r="J293" s="78"/>
      <c r="L293" s="150" t="s">
        <v>2052</v>
      </c>
    </row>
    <row r="294" spans="1:13">
      <c r="A294" s="76"/>
      <c r="B294" s="76"/>
      <c r="C294" s="73"/>
      <c r="D294" s="169" t="s">
        <v>207</v>
      </c>
      <c r="E294" s="206"/>
      <c r="F294" s="76"/>
      <c r="G294" s="76"/>
      <c r="H294" s="170"/>
      <c r="J294" s="78"/>
    </row>
    <row r="295" spans="1:13">
      <c r="A295" s="70">
        <v>137</v>
      </c>
      <c r="B295" s="22" t="s">
        <v>58</v>
      </c>
      <c r="C295" s="4" t="s">
        <v>270</v>
      </c>
      <c r="D295" s="159" t="s">
        <v>2250</v>
      </c>
      <c r="E295" s="1">
        <f>1265*1.07</f>
        <v>1353.5500000000002</v>
      </c>
      <c r="F295" s="101" t="s">
        <v>2218</v>
      </c>
      <c r="G295" s="134" t="s">
        <v>2251</v>
      </c>
      <c r="H295" s="181">
        <v>1</v>
      </c>
    </row>
    <row r="296" spans="1:13">
      <c r="A296" s="76"/>
      <c r="B296" s="76"/>
      <c r="C296" s="73"/>
      <c r="D296" s="169" t="s">
        <v>138</v>
      </c>
      <c r="E296" s="206"/>
      <c r="F296" s="76"/>
      <c r="G296" s="76"/>
      <c r="H296" s="170"/>
      <c r="L296" s="78"/>
    </row>
    <row r="297" spans="1:13">
      <c r="A297" s="70">
        <v>138</v>
      </c>
      <c r="B297" s="134" t="s">
        <v>488</v>
      </c>
      <c r="C297" s="4" t="s">
        <v>369</v>
      </c>
      <c r="D297" s="159" t="s">
        <v>2252</v>
      </c>
      <c r="E297" s="1">
        <f>14000*1.07</f>
        <v>14980</v>
      </c>
      <c r="F297" s="101" t="s">
        <v>2218</v>
      </c>
      <c r="G297" s="157" t="s">
        <v>2253</v>
      </c>
      <c r="H297" s="181">
        <v>1</v>
      </c>
      <c r="L297" s="192"/>
    </row>
    <row r="298" spans="1:13">
      <c r="A298" s="76"/>
      <c r="B298" s="76"/>
      <c r="C298" s="124"/>
      <c r="D298" s="121"/>
      <c r="E298" s="206"/>
      <c r="F298" s="76"/>
      <c r="G298" s="76"/>
      <c r="H298" s="170"/>
      <c r="L298" s="194"/>
    </row>
    <row r="299" spans="1:13">
      <c r="A299" s="70">
        <v>139</v>
      </c>
      <c r="B299" s="307" t="s">
        <v>141</v>
      </c>
      <c r="C299" s="4" t="s">
        <v>142</v>
      </c>
      <c r="D299" s="159" t="s">
        <v>2254</v>
      </c>
      <c r="E299" s="1">
        <f>31920*1.07</f>
        <v>34154.400000000001</v>
      </c>
      <c r="F299" s="101" t="s">
        <v>2218</v>
      </c>
      <c r="G299" s="157" t="s">
        <v>2255</v>
      </c>
      <c r="H299" s="181">
        <v>1</v>
      </c>
      <c r="L299" s="141"/>
    </row>
    <row r="300" spans="1:13">
      <c r="A300" s="76"/>
      <c r="B300" s="195"/>
      <c r="C300" s="18"/>
      <c r="D300" s="169" t="s">
        <v>138</v>
      </c>
      <c r="E300" s="206"/>
      <c r="F300" s="76"/>
      <c r="G300" s="76"/>
      <c r="H300" s="170"/>
    </row>
    <row r="301" spans="1:13">
      <c r="A301" s="70">
        <v>140</v>
      </c>
      <c r="B301" s="131" t="s">
        <v>1189</v>
      </c>
      <c r="C301" s="4" t="s">
        <v>1190</v>
      </c>
      <c r="D301" s="159" t="s">
        <v>2256</v>
      </c>
      <c r="E301" s="1">
        <f>7600*1.07</f>
        <v>8132.0000000000009</v>
      </c>
      <c r="F301" s="101" t="s">
        <v>2257</v>
      </c>
      <c r="G301" s="157" t="s">
        <v>2258</v>
      </c>
      <c r="H301" s="181">
        <v>1</v>
      </c>
    </row>
    <row r="302" spans="1:13">
      <c r="A302" s="76"/>
      <c r="B302" s="76"/>
      <c r="C302" s="124"/>
      <c r="D302" s="169" t="s">
        <v>2259</v>
      </c>
      <c r="E302" s="206"/>
      <c r="F302" s="76"/>
      <c r="G302" s="76"/>
      <c r="H302" s="170"/>
      <c r="K302" s="150" t="s">
        <v>560</v>
      </c>
    </row>
    <row r="303" spans="1:13">
      <c r="A303" s="70">
        <v>141</v>
      </c>
      <c r="B303" s="22" t="s">
        <v>1723</v>
      </c>
      <c r="C303" s="4" t="s">
        <v>1724</v>
      </c>
      <c r="D303" s="159" t="s">
        <v>2260</v>
      </c>
      <c r="E303" s="1">
        <f>57000*1.07</f>
        <v>60990</v>
      </c>
      <c r="F303" s="101" t="s">
        <v>2257</v>
      </c>
      <c r="G303" s="157" t="s">
        <v>2261</v>
      </c>
      <c r="H303" s="181">
        <v>1</v>
      </c>
      <c r="L303" s="78"/>
    </row>
    <row r="304" spans="1:13">
      <c r="A304" s="76"/>
      <c r="B304" s="80"/>
      <c r="C304" s="128"/>
      <c r="D304" s="159" t="s">
        <v>2262</v>
      </c>
      <c r="E304" s="257"/>
      <c r="F304" s="80"/>
      <c r="G304" s="80"/>
      <c r="H304" s="170"/>
    </row>
    <row r="305" spans="1:12">
      <c r="A305" s="70">
        <v>142</v>
      </c>
      <c r="B305" s="24" t="s">
        <v>200</v>
      </c>
      <c r="C305" s="152" t="s">
        <v>201</v>
      </c>
      <c r="D305" s="10" t="s">
        <v>2263</v>
      </c>
      <c r="E305" s="151">
        <f>6240*1.07</f>
        <v>6676.8</v>
      </c>
      <c r="F305" s="101" t="s">
        <v>2264</v>
      </c>
      <c r="G305" s="134" t="s">
        <v>2265</v>
      </c>
      <c r="H305" s="181">
        <v>1</v>
      </c>
    </row>
    <row r="306" spans="1:12">
      <c r="A306" s="76"/>
      <c r="B306" s="76"/>
      <c r="C306" s="124"/>
      <c r="D306" s="17" t="s">
        <v>2266</v>
      </c>
      <c r="E306" s="295"/>
      <c r="F306" s="76"/>
      <c r="G306" s="76"/>
      <c r="H306" s="170"/>
      <c r="I306" s="78"/>
    </row>
    <row r="307" spans="1:12" ht="30" customHeight="1">
      <c r="A307" s="336" t="s">
        <v>561</v>
      </c>
      <c r="B307" s="338" t="s">
        <v>0</v>
      </c>
      <c r="C307" s="341" t="s">
        <v>1</v>
      </c>
      <c r="D307" s="351" t="s">
        <v>2</v>
      </c>
      <c r="E307" s="336" t="s">
        <v>3</v>
      </c>
      <c r="F307" s="344" t="s">
        <v>4</v>
      </c>
      <c r="G307" s="341"/>
      <c r="H307" s="336" t="s">
        <v>5</v>
      </c>
    </row>
    <row r="308" spans="1:12" ht="52.5" customHeight="1">
      <c r="A308" s="337"/>
      <c r="B308" s="339"/>
      <c r="C308" s="341"/>
      <c r="D308" s="351"/>
      <c r="E308" s="337"/>
      <c r="F308" s="302" t="s">
        <v>6</v>
      </c>
      <c r="G308" s="301" t="s">
        <v>7</v>
      </c>
      <c r="H308" s="337"/>
    </row>
    <row r="309" spans="1:12">
      <c r="A309" s="126">
        <v>143</v>
      </c>
      <c r="B309" s="134" t="s">
        <v>1439</v>
      </c>
      <c r="C309" s="10" t="s">
        <v>1440</v>
      </c>
      <c r="D309" s="10" t="s">
        <v>2267</v>
      </c>
      <c r="E309" s="1">
        <f>2640*1.07</f>
        <v>2824.8</v>
      </c>
      <c r="F309" s="101" t="s">
        <v>2264</v>
      </c>
      <c r="G309" s="171" t="s">
        <v>2268</v>
      </c>
      <c r="H309" s="70">
        <v>1</v>
      </c>
      <c r="I309" s="78"/>
    </row>
    <row r="310" spans="1:12">
      <c r="A310" s="71"/>
      <c r="B310" s="76"/>
      <c r="C310" s="121"/>
      <c r="D310" s="159" t="s">
        <v>2269</v>
      </c>
      <c r="E310" s="104"/>
      <c r="F310" s="76"/>
      <c r="G310" s="75"/>
      <c r="H310" s="76"/>
    </row>
    <row r="311" spans="1:12">
      <c r="A311" s="126">
        <v>144</v>
      </c>
      <c r="B311" s="307" t="s">
        <v>158</v>
      </c>
      <c r="C311" s="4" t="s">
        <v>637</v>
      </c>
      <c r="D311" s="10" t="s">
        <v>2270</v>
      </c>
      <c r="E311" s="1">
        <f>3000*1.07</f>
        <v>3210</v>
      </c>
      <c r="F311" s="101" t="s">
        <v>2264</v>
      </c>
      <c r="G311" s="171" t="s">
        <v>2271</v>
      </c>
      <c r="H311" s="70">
        <v>1</v>
      </c>
    </row>
    <row r="312" spans="1:12">
      <c r="A312" s="71"/>
      <c r="B312" s="76"/>
      <c r="C312" s="230"/>
      <c r="D312" s="169"/>
      <c r="E312" s="206"/>
      <c r="F312" s="76"/>
      <c r="G312" s="320"/>
      <c r="H312" s="76"/>
    </row>
    <row r="313" spans="1:12">
      <c r="A313" s="126">
        <v>145</v>
      </c>
      <c r="B313" s="28" t="s">
        <v>9</v>
      </c>
      <c r="C313" s="4" t="s">
        <v>10</v>
      </c>
      <c r="D313" s="186" t="s">
        <v>2272</v>
      </c>
      <c r="E313" s="1">
        <f>6400*1.07</f>
        <v>6848</v>
      </c>
      <c r="F313" s="101" t="s">
        <v>2264</v>
      </c>
      <c r="G313" s="171" t="s">
        <v>2273</v>
      </c>
      <c r="H313" s="70">
        <v>1</v>
      </c>
    </row>
    <row r="314" spans="1:12">
      <c r="A314" s="71"/>
      <c r="B314" s="76"/>
      <c r="C314" s="201"/>
      <c r="D314" s="17"/>
      <c r="E314" s="206"/>
      <c r="F314" s="76"/>
      <c r="G314" s="232"/>
      <c r="H314" s="76"/>
    </row>
    <row r="315" spans="1:12">
      <c r="A315" s="126">
        <v>146</v>
      </c>
      <c r="B315" s="305" t="s">
        <v>27</v>
      </c>
      <c r="C315" s="4" t="s">
        <v>28</v>
      </c>
      <c r="D315" s="186" t="s">
        <v>2274</v>
      </c>
      <c r="E315" s="1">
        <f>37700*1.07</f>
        <v>40339</v>
      </c>
      <c r="F315" s="101" t="s">
        <v>2264</v>
      </c>
      <c r="G315" s="324" t="s">
        <v>2275</v>
      </c>
      <c r="H315" s="70">
        <v>1</v>
      </c>
    </row>
    <row r="316" spans="1:12">
      <c r="A316" s="71"/>
      <c r="B316" s="71"/>
      <c r="C316" s="201"/>
      <c r="D316" s="169"/>
      <c r="E316" s="206"/>
      <c r="F316" s="76"/>
      <c r="G316" s="170"/>
      <c r="H316" s="76"/>
    </row>
    <row r="317" spans="1:12" ht="27.75" customHeight="1">
      <c r="A317" s="126">
        <v>147</v>
      </c>
      <c r="B317" s="36" t="s">
        <v>14</v>
      </c>
      <c r="C317" s="4" t="s">
        <v>15</v>
      </c>
      <c r="D317" s="159" t="s">
        <v>2276</v>
      </c>
      <c r="E317" s="1">
        <f>5000*1.07</f>
        <v>5350</v>
      </c>
      <c r="F317" s="101" t="s">
        <v>2264</v>
      </c>
      <c r="G317" s="171" t="s">
        <v>2277</v>
      </c>
      <c r="H317" s="70">
        <v>1</v>
      </c>
      <c r="L317" s="321" t="s">
        <v>2086</v>
      </c>
    </row>
    <row r="318" spans="1:12">
      <c r="A318" s="71"/>
      <c r="B318" s="76"/>
      <c r="C318" s="124"/>
      <c r="D318" s="169" t="s">
        <v>19</v>
      </c>
      <c r="E318" s="206"/>
      <c r="F318" s="76"/>
      <c r="G318" s="170"/>
      <c r="H318" s="76"/>
    </row>
    <row r="319" spans="1:12">
      <c r="A319" s="126">
        <v>148</v>
      </c>
      <c r="B319" s="307" t="s">
        <v>141</v>
      </c>
      <c r="C319" s="4" t="s">
        <v>142</v>
      </c>
      <c r="D319" s="159" t="s">
        <v>2278</v>
      </c>
      <c r="E319" s="1">
        <f>28900*1.07</f>
        <v>30923</v>
      </c>
      <c r="F319" s="101" t="s">
        <v>2264</v>
      </c>
      <c r="G319" s="171" t="s">
        <v>2279</v>
      </c>
      <c r="H319" s="70">
        <v>1</v>
      </c>
    </row>
    <row r="320" spans="1:12">
      <c r="A320" s="71"/>
      <c r="B320" s="327"/>
      <c r="C320" s="201"/>
      <c r="D320" s="72"/>
      <c r="E320" s="206"/>
      <c r="F320" s="76"/>
      <c r="G320" s="170"/>
      <c r="H320" s="76"/>
    </row>
    <row r="321" spans="1:11" ht="25.5" customHeight="1">
      <c r="A321" s="126">
        <v>149</v>
      </c>
      <c r="B321" s="105" t="s">
        <v>100</v>
      </c>
      <c r="C321" s="128" t="s">
        <v>101</v>
      </c>
      <c r="D321" s="167" t="s">
        <v>2374</v>
      </c>
      <c r="E321" s="207">
        <v>460174</v>
      </c>
      <c r="F321" s="101" t="s">
        <v>2264</v>
      </c>
      <c r="G321" s="328" t="s">
        <v>2375</v>
      </c>
      <c r="H321" s="70">
        <v>1</v>
      </c>
      <c r="K321" s="78"/>
    </row>
    <row r="322" spans="1:11" ht="25.5" customHeight="1">
      <c r="A322" s="71"/>
      <c r="B322" s="80"/>
      <c r="C322" s="128"/>
      <c r="D322" s="167"/>
      <c r="E322" s="94"/>
      <c r="F322" s="80"/>
      <c r="G322" s="322"/>
      <c r="H322" s="76"/>
      <c r="K322" s="78"/>
    </row>
    <row r="323" spans="1:11" ht="25.5" customHeight="1">
      <c r="A323" s="126">
        <v>150</v>
      </c>
      <c r="B323" s="22" t="s">
        <v>115</v>
      </c>
      <c r="C323" s="123" t="s">
        <v>116</v>
      </c>
      <c r="D323" s="241" t="s">
        <v>2376</v>
      </c>
      <c r="E323" s="114">
        <v>156220</v>
      </c>
      <c r="F323" s="101" t="s">
        <v>2264</v>
      </c>
      <c r="G323" s="328" t="s">
        <v>2377</v>
      </c>
      <c r="H323" s="70">
        <v>1</v>
      </c>
      <c r="K323" s="78"/>
    </row>
    <row r="324" spans="1:11" ht="25.5" customHeight="1">
      <c r="A324" s="71"/>
      <c r="B324" s="76"/>
      <c r="C324" s="124"/>
      <c r="D324" s="169"/>
      <c r="E324" s="104"/>
      <c r="F324" s="76"/>
      <c r="G324" s="320"/>
      <c r="H324" s="76"/>
      <c r="K324" s="78"/>
    </row>
    <row r="325" spans="1:11">
      <c r="A325" s="126">
        <v>151</v>
      </c>
      <c r="B325" s="325" t="s">
        <v>733</v>
      </c>
      <c r="C325" s="4" t="s">
        <v>734</v>
      </c>
      <c r="D325" s="186" t="s">
        <v>2280</v>
      </c>
      <c r="E325" s="1">
        <f>19200*1.07</f>
        <v>20544</v>
      </c>
      <c r="F325" s="101" t="s">
        <v>2281</v>
      </c>
      <c r="G325" s="171" t="s">
        <v>2282</v>
      </c>
      <c r="H325" s="70">
        <v>1</v>
      </c>
    </row>
    <row r="326" spans="1:11">
      <c r="A326" s="71"/>
      <c r="B326" s="76"/>
      <c r="C326" s="124"/>
      <c r="D326" s="169"/>
      <c r="E326" s="206"/>
      <c r="F326" s="76"/>
      <c r="G326" s="170"/>
      <c r="H326" s="76"/>
    </row>
    <row r="327" spans="1:11">
      <c r="A327" s="126">
        <v>152</v>
      </c>
      <c r="B327" s="157" t="s">
        <v>488</v>
      </c>
      <c r="C327" s="154" t="s">
        <v>2091</v>
      </c>
      <c r="D327" s="186" t="s">
        <v>2283</v>
      </c>
      <c r="E327" s="1">
        <f>10200*1.07</f>
        <v>10914</v>
      </c>
      <c r="F327" s="101" t="s">
        <v>2281</v>
      </c>
      <c r="G327" s="171" t="s">
        <v>2284</v>
      </c>
      <c r="H327" s="70">
        <v>1</v>
      </c>
    </row>
    <row r="328" spans="1:11">
      <c r="A328" s="71"/>
      <c r="B328" s="76"/>
      <c r="C328" s="193"/>
      <c r="D328" s="121"/>
      <c r="E328" s="206"/>
      <c r="F328" s="116"/>
      <c r="G328" s="170"/>
      <c r="H328" s="76"/>
    </row>
    <row r="329" spans="1:11">
      <c r="A329" s="126">
        <v>153</v>
      </c>
      <c r="B329" s="187" t="s">
        <v>698</v>
      </c>
      <c r="C329" s="4" t="s">
        <v>779</v>
      </c>
      <c r="D329" s="186" t="s">
        <v>2285</v>
      </c>
      <c r="E329" s="1">
        <f>92400*1.07</f>
        <v>98868</v>
      </c>
      <c r="F329" s="101" t="s">
        <v>2281</v>
      </c>
      <c r="G329" s="171" t="s">
        <v>2286</v>
      </c>
      <c r="H329" s="70">
        <v>1</v>
      </c>
    </row>
    <row r="330" spans="1:11">
      <c r="A330" s="71"/>
      <c r="B330" s="71"/>
      <c r="C330" s="201"/>
      <c r="D330" s="159" t="s">
        <v>2287</v>
      </c>
      <c r="E330" s="206"/>
      <c r="F330" s="76"/>
      <c r="G330" s="170"/>
      <c r="H330" s="76"/>
    </row>
    <row r="331" spans="1:11">
      <c r="A331" s="126">
        <v>154</v>
      </c>
      <c r="B331" s="22" t="s">
        <v>1677</v>
      </c>
      <c r="C331" s="4" t="s">
        <v>1325</v>
      </c>
      <c r="D331" s="10" t="s">
        <v>2288</v>
      </c>
      <c r="E331" s="1">
        <f>14100*1.07</f>
        <v>15087</v>
      </c>
      <c r="F331" s="101" t="s">
        <v>2281</v>
      </c>
      <c r="G331" s="171" t="s">
        <v>2289</v>
      </c>
      <c r="H331" s="70">
        <v>1</v>
      </c>
    </row>
    <row r="332" spans="1:11">
      <c r="A332" s="71"/>
      <c r="B332" s="71"/>
      <c r="C332" s="201"/>
      <c r="D332" s="17"/>
      <c r="E332" s="206"/>
      <c r="F332" s="76"/>
      <c r="G332" s="170"/>
      <c r="H332" s="76"/>
    </row>
    <row r="333" spans="1:11">
      <c r="A333" s="126">
        <v>155</v>
      </c>
      <c r="B333" s="22" t="s">
        <v>1032</v>
      </c>
      <c r="C333" s="4" t="s">
        <v>505</v>
      </c>
      <c r="D333" s="10" t="s">
        <v>2290</v>
      </c>
      <c r="E333" s="1">
        <f>67060*1.07</f>
        <v>71754.2</v>
      </c>
      <c r="F333" s="101" t="s">
        <v>2281</v>
      </c>
      <c r="G333" s="171" t="s">
        <v>2291</v>
      </c>
      <c r="H333" s="70">
        <v>1</v>
      </c>
    </row>
    <row r="334" spans="1:11">
      <c r="A334" s="71"/>
      <c r="B334" s="71"/>
      <c r="C334" s="201"/>
      <c r="D334" s="169"/>
      <c r="E334" s="206"/>
      <c r="F334" s="76"/>
      <c r="G334" s="232"/>
      <c r="H334" s="76"/>
      <c r="K334" s="78"/>
    </row>
    <row r="335" spans="1:11">
      <c r="A335" s="126">
        <v>156</v>
      </c>
      <c r="B335" s="22" t="s">
        <v>1822</v>
      </c>
      <c r="C335" s="4" t="s">
        <v>1823</v>
      </c>
      <c r="D335" s="159" t="s">
        <v>2292</v>
      </c>
      <c r="E335" s="1">
        <f>62000*1.07</f>
        <v>66340</v>
      </c>
      <c r="F335" s="101" t="s">
        <v>2281</v>
      </c>
      <c r="G335" s="171" t="s">
        <v>2293</v>
      </c>
      <c r="H335" s="70">
        <v>1</v>
      </c>
      <c r="K335" s="78"/>
    </row>
    <row r="336" spans="1:11">
      <c r="A336" s="71"/>
      <c r="B336" s="76"/>
      <c r="C336" s="124"/>
      <c r="D336" s="169"/>
      <c r="E336" s="1"/>
      <c r="F336" s="76"/>
      <c r="G336" s="320"/>
      <c r="H336" s="76"/>
      <c r="K336" s="78"/>
    </row>
    <row r="337" spans="1:11">
      <c r="A337" s="126">
        <v>157</v>
      </c>
      <c r="B337" s="22" t="s">
        <v>324</v>
      </c>
      <c r="C337" s="4" t="s">
        <v>325</v>
      </c>
      <c r="D337" s="159" t="s">
        <v>2294</v>
      </c>
      <c r="E337" s="151">
        <f>83670*1.07</f>
        <v>89526.900000000009</v>
      </c>
      <c r="F337" s="101" t="s">
        <v>2281</v>
      </c>
      <c r="G337" s="171" t="s">
        <v>2295</v>
      </c>
      <c r="H337" s="70">
        <v>1</v>
      </c>
      <c r="K337" s="78"/>
    </row>
    <row r="338" spans="1:11">
      <c r="A338" s="71"/>
      <c r="B338" s="76"/>
      <c r="C338" s="128"/>
      <c r="D338" s="159" t="s">
        <v>2296</v>
      </c>
      <c r="E338" s="74"/>
      <c r="F338" s="80"/>
      <c r="G338" s="322"/>
      <c r="H338" s="76"/>
      <c r="K338" s="78"/>
    </row>
    <row r="339" spans="1:11">
      <c r="A339" s="126">
        <v>158</v>
      </c>
      <c r="B339" s="22" t="s">
        <v>967</v>
      </c>
      <c r="C339" s="10" t="s">
        <v>2297</v>
      </c>
      <c r="D339" s="10" t="s">
        <v>2298</v>
      </c>
      <c r="E339" s="1">
        <f>56520*1.07</f>
        <v>60476.4</v>
      </c>
      <c r="F339" s="101" t="s">
        <v>2299</v>
      </c>
      <c r="G339" s="134" t="s">
        <v>2300</v>
      </c>
      <c r="H339" s="70">
        <v>1</v>
      </c>
      <c r="K339" s="78"/>
    </row>
    <row r="340" spans="1:11">
      <c r="A340" s="71"/>
      <c r="B340" s="76"/>
      <c r="C340" s="121"/>
      <c r="D340" s="169" t="s">
        <v>226</v>
      </c>
      <c r="E340" s="104"/>
      <c r="F340" s="76"/>
      <c r="G340" s="326"/>
      <c r="H340" s="76"/>
      <c r="K340" s="78"/>
    </row>
    <row r="341" spans="1:11" ht="30" customHeight="1">
      <c r="A341" s="336" t="s">
        <v>561</v>
      </c>
      <c r="B341" s="338" t="s">
        <v>0</v>
      </c>
      <c r="C341" s="341" t="s">
        <v>1</v>
      </c>
      <c r="D341" s="351" t="s">
        <v>2</v>
      </c>
      <c r="E341" s="336" t="s">
        <v>3</v>
      </c>
      <c r="F341" s="344" t="s">
        <v>4</v>
      </c>
      <c r="G341" s="341"/>
      <c r="H341" s="336" t="s">
        <v>5</v>
      </c>
    </row>
    <row r="342" spans="1:11" ht="52.5" customHeight="1">
      <c r="A342" s="337"/>
      <c r="B342" s="339"/>
      <c r="C342" s="341"/>
      <c r="D342" s="351"/>
      <c r="E342" s="337"/>
      <c r="F342" s="302" t="s">
        <v>6</v>
      </c>
      <c r="G342" s="301" t="s">
        <v>7</v>
      </c>
      <c r="H342" s="337"/>
    </row>
    <row r="343" spans="1:11">
      <c r="A343" s="81">
        <v>159</v>
      </c>
      <c r="B343" s="119" t="s">
        <v>124</v>
      </c>
      <c r="C343" s="4" t="s">
        <v>290</v>
      </c>
      <c r="D343" s="159" t="s">
        <v>2301</v>
      </c>
      <c r="E343" s="1">
        <f>50380*1.07</f>
        <v>53906.600000000006</v>
      </c>
      <c r="F343" s="101" t="s">
        <v>2299</v>
      </c>
      <c r="G343" s="171" t="s">
        <v>2302</v>
      </c>
      <c r="H343" s="70">
        <v>1</v>
      </c>
      <c r="K343" s="78"/>
    </row>
    <row r="344" spans="1:11">
      <c r="A344" s="81"/>
      <c r="B344" s="80"/>
      <c r="C344" s="128"/>
      <c r="D344" s="169" t="s">
        <v>138</v>
      </c>
      <c r="E344" s="94"/>
      <c r="F344" s="80"/>
      <c r="G344" s="322"/>
      <c r="H344" s="76"/>
      <c r="K344" s="78"/>
    </row>
    <row r="345" spans="1:11">
      <c r="A345" s="126">
        <v>160</v>
      </c>
      <c r="B345" s="22" t="s">
        <v>1278</v>
      </c>
      <c r="C345" s="10" t="s">
        <v>820</v>
      </c>
      <c r="D345" s="172" t="s">
        <v>2303</v>
      </c>
      <c r="E345" s="151">
        <f>13500*1.07</f>
        <v>14445</v>
      </c>
      <c r="F345" s="101" t="s">
        <v>2299</v>
      </c>
      <c r="G345" s="134" t="s">
        <v>2304</v>
      </c>
      <c r="H345" s="70">
        <v>1</v>
      </c>
      <c r="K345" s="78"/>
    </row>
    <row r="346" spans="1:11">
      <c r="A346" s="71"/>
      <c r="B346" s="76"/>
      <c r="C346" s="17"/>
      <c r="D346" s="304"/>
      <c r="E346" s="295"/>
      <c r="F346" s="204"/>
      <c r="G346" s="327"/>
      <c r="H346" s="76"/>
      <c r="K346" s="78"/>
    </row>
    <row r="347" spans="1:11" ht="25.5" customHeight="1">
      <c r="A347" s="81">
        <v>161</v>
      </c>
      <c r="B347" s="131" t="s">
        <v>743</v>
      </c>
      <c r="C347" s="123" t="s">
        <v>806</v>
      </c>
      <c r="D347" s="241" t="s">
        <v>2378</v>
      </c>
      <c r="E347" s="114">
        <v>208650</v>
      </c>
      <c r="F347" s="101" t="s">
        <v>2299</v>
      </c>
      <c r="G347" s="328" t="s">
        <v>2379</v>
      </c>
      <c r="H347" s="70">
        <v>1</v>
      </c>
      <c r="K347" s="78"/>
    </row>
    <row r="348" spans="1:11" ht="25.5" customHeight="1">
      <c r="A348" s="81"/>
      <c r="B348" s="76"/>
      <c r="C348" s="124"/>
      <c r="D348" s="169"/>
      <c r="E348" s="104"/>
      <c r="F348" s="76"/>
      <c r="G348" s="320"/>
      <c r="H348" s="76"/>
      <c r="K348" s="78"/>
    </row>
    <row r="349" spans="1:11">
      <c r="A349" s="126">
        <v>162</v>
      </c>
      <c r="B349" s="22" t="s">
        <v>1458</v>
      </c>
      <c r="C349" s="152" t="s">
        <v>1459</v>
      </c>
      <c r="D349" s="10" t="s">
        <v>2305</v>
      </c>
      <c r="E349" s="11">
        <f>74400*1.07</f>
        <v>79608</v>
      </c>
      <c r="F349" s="101" t="s">
        <v>2306</v>
      </c>
      <c r="G349" s="13" t="s">
        <v>2307</v>
      </c>
      <c r="H349" s="70">
        <v>1</v>
      </c>
      <c r="K349" s="78"/>
    </row>
    <row r="350" spans="1:11">
      <c r="A350" s="71"/>
      <c r="B350" s="76"/>
      <c r="C350" s="124"/>
      <c r="D350" s="169" t="s">
        <v>226</v>
      </c>
      <c r="E350" s="104"/>
      <c r="F350" s="76"/>
      <c r="G350" s="232"/>
      <c r="H350" s="76"/>
      <c r="K350" s="78"/>
    </row>
    <row r="351" spans="1:11">
      <c r="A351" s="81">
        <v>163</v>
      </c>
      <c r="B351" s="139" t="s">
        <v>1027</v>
      </c>
      <c r="C351" s="4" t="s">
        <v>1322</v>
      </c>
      <c r="D351" s="159" t="s">
        <v>1029</v>
      </c>
      <c r="E351" s="1">
        <f>90000*1.07</f>
        <v>96300</v>
      </c>
      <c r="F351" s="101" t="s">
        <v>2306</v>
      </c>
      <c r="G351" s="171" t="s">
        <v>2308</v>
      </c>
      <c r="H351" s="80">
        <v>1</v>
      </c>
      <c r="K351" s="78"/>
    </row>
    <row r="352" spans="1:11">
      <c r="A352" s="81"/>
      <c r="B352" s="76"/>
      <c r="C352" s="128"/>
      <c r="D352" s="167"/>
      <c r="E352" s="94"/>
      <c r="F352" s="80"/>
      <c r="G352" s="322"/>
      <c r="H352" s="80"/>
      <c r="K352" s="78"/>
    </row>
    <row r="353" spans="1:11">
      <c r="A353" s="126">
        <v>164</v>
      </c>
      <c r="B353" s="22" t="s">
        <v>1269</v>
      </c>
      <c r="C353" s="152" t="s">
        <v>1270</v>
      </c>
      <c r="D353" s="10" t="s">
        <v>2309</v>
      </c>
      <c r="E353" s="11">
        <f>19200*1.07</f>
        <v>20544</v>
      </c>
      <c r="F353" s="101" t="s">
        <v>2306</v>
      </c>
      <c r="G353" s="13" t="s">
        <v>2310</v>
      </c>
      <c r="H353" s="70">
        <v>1</v>
      </c>
      <c r="K353" s="78"/>
    </row>
    <row r="354" spans="1:11">
      <c r="A354" s="71"/>
      <c r="B354" s="76"/>
      <c r="C354" s="124"/>
      <c r="D354" s="169"/>
      <c r="E354" s="104"/>
      <c r="F354" s="76"/>
      <c r="G354" s="232"/>
      <c r="H354" s="76"/>
      <c r="K354" s="78"/>
    </row>
    <row r="355" spans="1:11">
      <c r="A355" s="81">
        <v>165</v>
      </c>
      <c r="B355" s="22" t="s">
        <v>1943</v>
      </c>
      <c r="C355" s="4" t="s">
        <v>1288</v>
      </c>
      <c r="D355" s="159" t="s">
        <v>2311</v>
      </c>
      <c r="E355" s="1">
        <f>75000*1.07</f>
        <v>80250</v>
      </c>
      <c r="F355" s="101" t="s">
        <v>2306</v>
      </c>
      <c r="G355" s="171" t="s">
        <v>2312</v>
      </c>
      <c r="H355" s="70">
        <v>1</v>
      </c>
      <c r="K355" s="78"/>
    </row>
    <row r="356" spans="1:11">
      <c r="A356" s="81"/>
      <c r="B356" s="80"/>
      <c r="C356" s="128"/>
      <c r="D356" s="159" t="s">
        <v>2313</v>
      </c>
      <c r="E356" s="94"/>
      <c r="F356" s="76"/>
      <c r="G356" s="320"/>
      <c r="H356" s="76"/>
      <c r="K356" s="78"/>
    </row>
    <row r="357" spans="1:11">
      <c r="A357" s="126">
        <v>166</v>
      </c>
      <c r="B357" s="134" t="s">
        <v>1439</v>
      </c>
      <c r="C357" s="152" t="s">
        <v>163</v>
      </c>
      <c r="D357" s="172" t="s">
        <v>2314</v>
      </c>
      <c r="E357" s="205">
        <f>9280*1.07</f>
        <v>9929.6</v>
      </c>
      <c r="F357" s="101" t="s">
        <v>2306</v>
      </c>
      <c r="G357" s="171" t="s">
        <v>2315</v>
      </c>
      <c r="H357" s="80">
        <v>1</v>
      </c>
      <c r="K357" s="78"/>
    </row>
    <row r="358" spans="1:11">
      <c r="A358" s="71"/>
      <c r="B358" s="76"/>
      <c r="C358" s="124"/>
      <c r="D358" s="169"/>
      <c r="E358" s="206"/>
      <c r="F358" s="76"/>
      <c r="G358" s="320"/>
      <c r="H358" s="80"/>
      <c r="K358" s="78"/>
    </row>
    <row r="359" spans="1:11">
      <c r="A359" s="81">
        <v>167</v>
      </c>
      <c r="B359" s="22" t="s">
        <v>1564</v>
      </c>
      <c r="C359" s="152" t="s">
        <v>1565</v>
      </c>
      <c r="D359" s="172" t="s">
        <v>2316</v>
      </c>
      <c r="E359" s="205">
        <f>20500*1.07</f>
        <v>21935</v>
      </c>
      <c r="F359" s="101" t="s">
        <v>2306</v>
      </c>
      <c r="G359" s="171" t="s">
        <v>2317</v>
      </c>
      <c r="H359" s="80">
        <v>1</v>
      </c>
      <c r="K359" s="78"/>
    </row>
    <row r="360" spans="1:11">
      <c r="A360" s="81"/>
      <c r="B360" s="76"/>
      <c r="C360" s="124"/>
      <c r="D360" s="169"/>
      <c r="E360" s="206"/>
      <c r="F360" s="76"/>
      <c r="G360" s="320"/>
      <c r="H360" s="80"/>
      <c r="K360" s="78"/>
    </row>
    <row r="361" spans="1:11">
      <c r="A361" s="126">
        <v>168</v>
      </c>
      <c r="B361" s="126" t="s">
        <v>183</v>
      </c>
      <c r="C361" s="10" t="s">
        <v>184</v>
      </c>
      <c r="D361" s="159" t="s">
        <v>2318</v>
      </c>
      <c r="E361" s="1">
        <f>4072.5*1.07</f>
        <v>4357.5749999999998</v>
      </c>
      <c r="F361" s="101" t="s">
        <v>2306</v>
      </c>
      <c r="G361" s="171" t="s">
        <v>2319</v>
      </c>
      <c r="H361" s="70">
        <v>1</v>
      </c>
      <c r="K361" s="78"/>
    </row>
    <row r="362" spans="1:11">
      <c r="A362" s="71"/>
      <c r="B362" s="71"/>
      <c r="C362" s="121"/>
      <c r="D362" s="169"/>
      <c r="E362" s="104"/>
      <c r="F362" s="76"/>
      <c r="G362" s="320"/>
      <c r="H362" s="76"/>
      <c r="K362" s="78"/>
    </row>
    <row r="363" spans="1:11">
      <c r="A363" s="81">
        <v>169</v>
      </c>
      <c r="B363" s="22" t="s">
        <v>1378</v>
      </c>
      <c r="C363" s="4" t="s">
        <v>1170</v>
      </c>
      <c r="D363" s="186" t="s">
        <v>2320</v>
      </c>
      <c r="E363" s="1">
        <f>5400*1.07</f>
        <v>5778</v>
      </c>
      <c r="F363" s="101" t="s">
        <v>2306</v>
      </c>
      <c r="G363" s="171" t="s">
        <v>2321</v>
      </c>
      <c r="H363" s="70">
        <v>1</v>
      </c>
      <c r="K363" s="78"/>
    </row>
    <row r="364" spans="1:11">
      <c r="A364" s="81"/>
      <c r="B364" s="76"/>
      <c r="C364" s="124"/>
      <c r="D364" s="169" t="s">
        <v>19</v>
      </c>
      <c r="E364" s="104"/>
      <c r="F364" s="76"/>
      <c r="G364" s="320"/>
      <c r="H364" s="76"/>
      <c r="K364" s="78"/>
    </row>
    <row r="365" spans="1:11">
      <c r="A365" s="126">
        <v>170</v>
      </c>
      <c r="B365" s="22" t="s">
        <v>854</v>
      </c>
      <c r="C365" s="4" t="s">
        <v>1310</v>
      </c>
      <c r="D365" s="159" t="s">
        <v>2322</v>
      </c>
      <c r="E365" s="1">
        <f>51055*1.07</f>
        <v>54628.850000000006</v>
      </c>
      <c r="F365" s="101" t="s">
        <v>2306</v>
      </c>
      <c r="G365" s="171" t="s">
        <v>2323</v>
      </c>
      <c r="H365" s="80">
        <v>1</v>
      </c>
      <c r="K365" s="78"/>
    </row>
    <row r="366" spans="1:11">
      <c r="A366" s="71"/>
      <c r="B366" s="76"/>
      <c r="C366" s="124"/>
      <c r="D366" s="169"/>
      <c r="E366" s="104"/>
      <c r="F366" s="76"/>
      <c r="G366" s="320"/>
      <c r="H366" s="80"/>
      <c r="K366" s="78"/>
    </row>
    <row r="367" spans="1:11">
      <c r="A367" s="81">
        <v>171</v>
      </c>
      <c r="B367" s="119" t="s">
        <v>124</v>
      </c>
      <c r="C367" s="4" t="s">
        <v>290</v>
      </c>
      <c r="D367" s="159" t="s">
        <v>2324</v>
      </c>
      <c r="E367" s="1">
        <f>55600*1.07</f>
        <v>59492</v>
      </c>
      <c r="F367" s="101" t="s">
        <v>2306</v>
      </c>
      <c r="G367" s="171" t="s">
        <v>2325</v>
      </c>
      <c r="H367" s="70">
        <v>1</v>
      </c>
      <c r="K367" s="78"/>
    </row>
    <row r="368" spans="1:11">
      <c r="A368" s="81"/>
      <c r="B368" s="76"/>
      <c r="C368" s="124"/>
      <c r="D368" s="169"/>
      <c r="E368" s="104"/>
      <c r="F368" s="76"/>
      <c r="G368" s="320"/>
      <c r="H368" s="76"/>
      <c r="K368" s="78"/>
    </row>
    <row r="369" spans="1:11">
      <c r="A369" s="126">
        <v>172</v>
      </c>
      <c r="B369" s="131" t="s">
        <v>1486</v>
      </c>
      <c r="C369" s="4" t="s">
        <v>189</v>
      </c>
      <c r="D369" s="159" t="s">
        <v>2326</v>
      </c>
      <c r="E369" s="1">
        <f>91140*1.07</f>
        <v>97519.8</v>
      </c>
      <c r="F369" s="101" t="s">
        <v>2306</v>
      </c>
      <c r="G369" s="171" t="s">
        <v>2327</v>
      </c>
      <c r="H369" s="70">
        <v>1</v>
      </c>
      <c r="K369" s="78"/>
    </row>
    <row r="370" spans="1:11">
      <c r="A370" s="71"/>
      <c r="B370" s="76"/>
      <c r="C370" s="124"/>
      <c r="D370" s="169"/>
      <c r="E370" s="104"/>
      <c r="F370" s="76"/>
      <c r="G370" s="320"/>
      <c r="H370" s="76"/>
      <c r="K370" s="78"/>
    </row>
    <row r="371" spans="1:11" ht="25.5" customHeight="1">
      <c r="A371" s="81">
        <v>173</v>
      </c>
      <c r="B371" s="131" t="s">
        <v>1098</v>
      </c>
      <c r="C371" s="128" t="s">
        <v>2371</v>
      </c>
      <c r="D371" s="167" t="s">
        <v>2380</v>
      </c>
      <c r="E371" s="207">
        <v>823900</v>
      </c>
      <c r="F371" s="116" t="s">
        <v>2306</v>
      </c>
      <c r="G371" s="322" t="s">
        <v>2381</v>
      </c>
      <c r="H371" s="70">
        <v>1</v>
      </c>
      <c r="K371" s="78"/>
    </row>
    <row r="372" spans="1:11" ht="25.5" customHeight="1">
      <c r="A372" s="81"/>
      <c r="B372" s="76"/>
      <c r="C372" s="124"/>
      <c r="D372" s="169" t="s">
        <v>559</v>
      </c>
      <c r="E372" s="104"/>
      <c r="F372" s="76"/>
      <c r="G372" s="320"/>
      <c r="H372" s="76"/>
      <c r="K372" s="78"/>
    </row>
    <row r="373" spans="1:11">
      <c r="A373" s="126">
        <v>174</v>
      </c>
      <c r="B373" s="305" t="s">
        <v>27</v>
      </c>
      <c r="C373" s="4" t="s">
        <v>28</v>
      </c>
      <c r="D373" s="159" t="s">
        <v>2328</v>
      </c>
      <c r="E373" s="1">
        <f>7300*1.07</f>
        <v>7811</v>
      </c>
      <c r="F373" s="101" t="s">
        <v>2329</v>
      </c>
      <c r="G373" s="171" t="s">
        <v>2330</v>
      </c>
      <c r="H373" s="80">
        <v>1</v>
      </c>
      <c r="K373" s="78"/>
    </row>
    <row r="374" spans="1:11">
      <c r="A374" s="71"/>
      <c r="B374" s="76"/>
      <c r="C374" s="124"/>
      <c r="D374" s="169"/>
      <c r="E374" s="104"/>
      <c r="F374" s="76"/>
      <c r="G374" s="320"/>
      <c r="H374" s="80"/>
      <c r="K374" s="78"/>
    </row>
    <row r="375" spans="1:11" ht="30" customHeight="1">
      <c r="A375" s="336" t="s">
        <v>561</v>
      </c>
      <c r="B375" s="347" t="s">
        <v>0</v>
      </c>
      <c r="C375" s="336" t="s">
        <v>1</v>
      </c>
      <c r="D375" s="336" t="s">
        <v>2</v>
      </c>
      <c r="E375" s="336" t="s">
        <v>3</v>
      </c>
      <c r="F375" s="340" t="s">
        <v>4</v>
      </c>
      <c r="G375" s="344"/>
      <c r="H375" s="336" t="s">
        <v>5</v>
      </c>
    </row>
    <row r="376" spans="1:11" ht="52.5" customHeight="1">
      <c r="A376" s="337"/>
      <c r="B376" s="348"/>
      <c r="C376" s="337"/>
      <c r="D376" s="337"/>
      <c r="E376" s="337"/>
      <c r="F376" s="302" t="s">
        <v>6</v>
      </c>
      <c r="G376" s="301" t="s">
        <v>7</v>
      </c>
      <c r="H376" s="337"/>
    </row>
    <row r="377" spans="1:11">
      <c r="A377" s="126">
        <v>175</v>
      </c>
      <c r="B377" s="134" t="s">
        <v>2331</v>
      </c>
      <c r="C377" s="4" t="s">
        <v>2332</v>
      </c>
      <c r="D377" s="159" t="s">
        <v>2333</v>
      </c>
      <c r="E377" s="1">
        <f>9075*1.07</f>
        <v>9710.25</v>
      </c>
      <c r="F377" s="101" t="s">
        <v>2329</v>
      </c>
      <c r="G377" s="171" t="s">
        <v>2334</v>
      </c>
      <c r="H377" s="70">
        <v>1</v>
      </c>
      <c r="K377" s="78"/>
    </row>
    <row r="378" spans="1:11">
      <c r="A378" s="71"/>
      <c r="B378" s="76"/>
      <c r="C378" s="124"/>
      <c r="D378" s="169"/>
      <c r="E378" s="104"/>
      <c r="F378" s="76"/>
      <c r="G378" s="320"/>
      <c r="H378" s="76"/>
      <c r="K378" s="78"/>
    </row>
    <row r="379" spans="1:11">
      <c r="A379" s="81">
        <v>176</v>
      </c>
      <c r="B379" s="22" t="s">
        <v>2335</v>
      </c>
      <c r="C379" s="4" t="s">
        <v>2336</v>
      </c>
      <c r="D379" s="186" t="s">
        <v>2337</v>
      </c>
      <c r="E379" s="1">
        <f>9500*1.07</f>
        <v>10165</v>
      </c>
      <c r="F379" s="101" t="s">
        <v>2329</v>
      </c>
      <c r="G379" s="171" t="s">
        <v>2338</v>
      </c>
      <c r="H379" s="70">
        <v>1</v>
      </c>
      <c r="K379" s="78"/>
    </row>
    <row r="380" spans="1:11">
      <c r="A380" s="81"/>
      <c r="B380" s="76"/>
      <c r="C380" s="124"/>
      <c r="D380" s="169"/>
      <c r="E380" s="104"/>
      <c r="F380" s="76"/>
      <c r="G380" s="320"/>
      <c r="H380" s="76"/>
      <c r="K380" s="78"/>
    </row>
    <row r="381" spans="1:11">
      <c r="A381" s="126">
        <v>177</v>
      </c>
      <c r="B381" s="187" t="s">
        <v>698</v>
      </c>
      <c r="C381" s="4" t="s">
        <v>779</v>
      </c>
      <c r="D381" s="159" t="s">
        <v>2339</v>
      </c>
      <c r="E381" s="1">
        <f>59600*1.07</f>
        <v>63772.000000000007</v>
      </c>
      <c r="F381" s="101" t="s">
        <v>2329</v>
      </c>
      <c r="G381" s="171" t="s">
        <v>2340</v>
      </c>
      <c r="H381" s="80">
        <v>1</v>
      </c>
      <c r="K381" s="78"/>
    </row>
    <row r="382" spans="1:11">
      <c r="A382" s="71"/>
      <c r="B382" s="76"/>
      <c r="C382" s="124"/>
      <c r="D382" s="169"/>
      <c r="E382" s="104"/>
      <c r="F382" s="76"/>
      <c r="G382" s="320"/>
      <c r="H382" s="80"/>
      <c r="K382" s="78"/>
    </row>
    <row r="383" spans="1:11">
      <c r="A383" s="81">
        <v>178</v>
      </c>
      <c r="B383" s="22" t="s">
        <v>1564</v>
      </c>
      <c r="C383" s="152" t="s">
        <v>1565</v>
      </c>
      <c r="D383" s="172" t="s">
        <v>2341</v>
      </c>
      <c r="E383" s="11">
        <f>42000*1.07</f>
        <v>44940</v>
      </c>
      <c r="F383" s="101" t="s">
        <v>2329</v>
      </c>
      <c r="G383" s="26" t="s">
        <v>2342</v>
      </c>
      <c r="H383" s="70">
        <v>1</v>
      </c>
      <c r="K383" s="78"/>
    </row>
    <row r="384" spans="1:11">
      <c r="A384" s="81"/>
      <c r="B384" s="76"/>
      <c r="C384" s="124"/>
      <c r="D384" s="169"/>
      <c r="E384" s="104"/>
      <c r="F384" s="76"/>
      <c r="G384" s="320"/>
      <c r="H384" s="76"/>
      <c r="K384" s="78"/>
    </row>
    <row r="385" spans="1:11" ht="25.5" customHeight="1">
      <c r="A385" s="126">
        <v>179</v>
      </c>
      <c r="B385" s="119" t="s">
        <v>124</v>
      </c>
      <c r="C385" s="123" t="s">
        <v>2382</v>
      </c>
      <c r="D385" s="241" t="s">
        <v>2383</v>
      </c>
      <c r="E385" s="208">
        <v>684800</v>
      </c>
      <c r="F385" s="101" t="s">
        <v>2384</v>
      </c>
      <c r="G385" s="328" t="s">
        <v>2385</v>
      </c>
      <c r="H385" s="70">
        <v>1</v>
      </c>
      <c r="K385" s="78"/>
    </row>
    <row r="386" spans="1:11" ht="25.5" customHeight="1">
      <c r="A386" s="71"/>
      <c r="B386" s="76"/>
      <c r="C386" s="124"/>
      <c r="D386" s="169"/>
      <c r="E386" s="104"/>
      <c r="F386" s="76"/>
      <c r="G386" s="320"/>
      <c r="H386" s="76"/>
      <c r="K386" s="78"/>
    </row>
    <row r="387" spans="1:11">
      <c r="A387" s="81">
        <v>180</v>
      </c>
      <c r="B387" s="22" t="s">
        <v>1723</v>
      </c>
      <c r="C387" s="154" t="s">
        <v>1724</v>
      </c>
      <c r="D387" s="10" t="s">
        <v>2343</v>
      </c>
      <c r="E387" s="11">
        <f>67289.72*1.07</f>
        <v>72000.000400000004</v>
      </c>
      <c r="F387" s="101" t="s">
        <v>2344</v>
      </c>
      <c r="G387" s="26" t="s">
        <v>2345</v>
      </c>
      <c r="H387" s="70">
        <v>1</v>
      </c>
      <c r="K387" s="78"/>
    </row>
    <row r="388" spans="1:11">
      <c r="A388" s="81"/>
      <c r="B388" s="76"/>
      <c r="C388" s="193"/>
      <c r="D388" s="169"/>
      <c r="E388" s="104"/>
      <c r="F388" s="76"/>
      <c r="G388" s="320"/>
      <c r="H388" s="76"/>
      <c r="K388" s="78"/>
    </row>
    <row r="389" spans="1:11">
      <c r="A389" s="126">
        <v>181</v>
      </c>
      <c r="B389" s="134" t="s">
        <v>488</v>
      </c>
      <c r="C389" s="4" t="s">
        <v>369</v>
      </c>
      <c r="D389" s="159" t="s">
        <v>2346</v>
      </c>
      <c r="E389" s="1">
        <f>75000*1.07</f>
        <v>80250</v>
      </c>
      <c r="F389" s="101" t="s">
        <v>2344</v>
      </c>
      <c r="G389" s="171" t="s">
        <v>2347</v>
      </c>
      <c r="H389" s="70">
        <v>1</v>
      </c>
      <c r="K389" s="78"/>
    </row>
    <row r="390" spans="1:11">
      <c r="A390" s="71"/>
      <c r="B390" s="76"/>
      <c r="C390" s="124"/>
      <c r="D390" s="169"/>
      <c r="E390" s="104"/>
      <c r="F390" s="76"/>
      <c r="G390" s="320"/>
      <c r="H390" s="76"/>
      <c r="K390" s="78"/>
    </row>
    <row r="391" spans="1:11" ht="25.5" customHeight="1">
      <c r="A391" s="81">
        <v>182</v>
      </c>
      <c r="B391" s="307" t="s">
        <v>141</v>
      </c>
      <c r="C391" s="4" t="s">
        <v>142</v>
      </c>
      <c r="D391" s="159" t="s">
        <v>2348</v>
      </c>
      <c r="E391" s="1">
        <f>87660*1.07</f>
        <v>93796.200000000012</v>
      </c>
      <c r="F391" s="101" t="s">
        <v>2344</v>
      </c>
      <c r="G391" s="171" t="s">
        <v>2349</v>
      </c>
      <c r="H391" s="70">
        <v>1</v>
      </c>
      <c r="K391" s="78"/>
    </row>
    <row r="392" spans="1:11" ht="25.5" customHeight="1">
      <c r="A392" s="81"/>
      <c r="B392" s="76"/>
      <c r="C392" s="124"/>
      <c r="D392" s="169" t="s">
        <v>226</v>
      </c>
      <c r="E392" s="104"/>
      <c r="F392" s="76"/>
      <c r="G392" s="320"/>
      <c r="H392" s="76"/>
      <c r="K392" s="78"/>
    </row>
    <row r="393" spans="1:11" ht="25.5" customHeight="1">
      <c r="A393" s="126">
        <v>183</v>
      </c>
      <c r="B393" s="305" t="s">
        <v>27</v>
      </c>
      <c r="C393" s="4" t="s">
        <v>28</v>
      </c>
      <c r="D393" s="159" t="s">
        <v>2350</v>
      </c>
      <c r="E393" s="1">
        <f>63000*1.07</f>
        <v>67410</v>
      </c>
      <c r="F393" s="101" t="s">
        <v>2344</v>
      </c>
      <c r="G393" s="171" t="s">
        <v>2351</v>
      </c>
      <c r="H393" s="70">
        <v>1</v>
      </c>
      <c r="K393" s="78"/>
    </row>
    <row r="394" spans="1:11" ht="25.5" customHeight="1">
      <c r="A394" s="71"/>
      <c r="B394" s="76"/>
      <c r="C394" s="124"/>
      <c r="D394" s="188" t="s">
        <v>2352</v>
      </c>
      <c r="E394" s="104"/>
      <c r="F394" s="76"/>
      <c r="G394" s="320"/>
      <c r="H394" s="76"/>
      <c r="K394" s="78"/>
    </row>
    <row r="395" spans="1:11" ht="25.5" customHeight="1">
      <c r="A395" s="81">
        <v>184</v>
      </c>
      <c r="B395" s="22" t="s">
        <v>104</v>
      </c>
      <c r="C395" s="123" t="s">
        <v>105</v>
      </c>
      <c r="D395" s="241" t="s">
        <v>2386</v>
      </c>
      <c r="E395" s="208">
        <v>458259.6</v>
      </c>
      <c r="F395" s="101" t="s">
        <v>2344</v>
      </c>
      <c r="G395" s="328" t="s">
        <v>2387</v>
      </c>
      <c r="H395" s="70">
        <v>1</v>
      </c>
      <c r="K395" s="78"/>
    </row>
    <row r="396" spans="1:11" ht="25.5" customHeight="1">
      <c r="A396" s="81"/>
      <c r="B396" s="76"/>
      <c r="C396" s="124"/>
      <c r="D396" s="169"/>
      <c r="E396" s="104"/>
      <c r="F396" s="76"/>
      <c r="G396" s="320"/>
      <c r="H396" s="76"/>
      <c r="K396" s="78"/>
    </row>
    <row r="397" spans="1:11" ht="25.5" customHeight="1">
      <c r="A397" s="126">
        <v>185</v>
      </c>
      <c r="B397" s="22" t="s">
        <v>1269</v>
      </c>
      <c r="C397" s="4" t="s">
        <v>1270</v>
      </c>
      <c r="D397" s="10" t="s">
        <v>2353</v>
      </c>
      <c r="E397" s="1">
        <f>61560*1.07</f>
        <v>65869.2</v>
      </c>
      <c r="F397" s="101" t="s">
        <v>2354</v>
      </c>
      <c r="G397" s="171" t="s">
        <v>2355</v>
      </c>
      <c r="H397" s="70">
        <v>1</v>
      </c>
      <c r="K397" s="78"/>
    </row>
    <row r="398" spans="1:11" ht="25.5" customHeight="1">
      <c r="A398" s="71"/>
      <c r="B398" s="76"/>
      <c r="C398" s="124"/>
      <c r="D398" s="169" t="s">
        <v>138</v>
      </c>
      <c r="E398" s="104"/>
      <c r="F398" s="76"/>
      <c r="G398" s="320"/>
      <c r="H398" s="76"/>
      <c r="K398" s="78"/>
    </row>
    <row r="399" spans="1:11" ht="25.5" customHeight="1">
      <c r="A399" s="81">
        <v>186</v>
      </c>
      <c r="B399" s="28" t="s">
        <v>54</v>
      </c>
      <c r="C399" s="4" t="s">
        <v>243</v>
      </c>
      <c r="D399" s="159" t="s">
        <v>2356</v>
      </c>
      <c r="E399" s="1">
        <f>4088*1.07</f>
        <v>4374.16</v>
      </c>
      <c r="F399" s="101" t="s">
        <v>2354</v>
      </c>
      <c r="G399" s="171" t="s">
        <v>2357</v>
      </c>
      <c r="H399" s="70">
        <v>1</v>
      </c>
      <c r="K399" s="78"/>
    </row>
    <row r="400" spans="1:11" ht="25.5" customHeight="1">
      <c r="A400" s="81"/>
      <c r="B400" s="76"/>
      <c r="C400" s="124"/>
      <c r="D400" s="169" t="s">
        <v>19</v>
      </c>
      <c r="E400" s="104"/>
      <c r="F400" s="76"/>
      <c r="G400" s="320"/>
      <c r="H400" s="76"/>
      <c r="K400" s="78"/>
    </row>
    <row r="401" spans="1:11" ht="25.5" customHeight="1">
      <c r="A401" s="126">
        <v>187</v>
      </c>
      <c r="B401" s="24" t="s">
        <v>200</v>
      </c>
      <c r="C401" s="4" t="s">
        <v>201</v>
      </c>
      <c r="D401" s="159" t="s">
        <v>2358</v>
      </c>
      <c r="E401" s="1">
        <f>3800*1.07</f>
        <v>4066.0000000000005</v>
      </c>
      <c r="F401" s="101" t="s">
        <v>2354</v>
      </c>
      <c r="G401" s="171" t="s">
        <v>2359</v>
      </c>
      <c r="H401" s="70">
        <v>1</v>
      </c>
      <c r="K401" s="78"/>
    </row>
    <row r="402" spans="1:11" ht="25.5" customHeight="1">
      <c r="A402" s="71"/>
      <c r="B402" s="76"/>
      <c r="C402" s="124"/>
      <c r="D402" s="159" t="s">
        <v>2360</v>
      </c>
      <c r="E402" s="104"/>
      <c r="F402" s="76"/>
      <c r="G402" s="320"/>
      <c r="H402" s="76"/>
      <c r="K402" s="78"/>
    </row>
    <row r="403" spans="1:11" ht="25.5" customHeight="1">
      <c r="A403" s="81">
        <v>188</v>
      </c>
      <c r="B403" s="28" t="s">
        <v>9</v>
      </c>
      <c r="C403" s="4" t="s">
        <v>50</v>
      </c>
      <c r="D403" s="10" t="s">
        <v>2361</v>
      </c>
      <c r="E403" s="219">
        <f>890*1.07</f>
        <v>952.30000000000007</v>
      </c>
      <c r="F403" s="101" t="s">
        <v>2354</v>
      </c>
      <c r="G403" s="171" t="s">
        <v>2362</v>
      </c>
      <c r="H403" s="70">
        <v>1</v>
      </c>
      <c r="K403" s="78"/>
    </row>
    <row r="404" spans="1:11" ht="25.5" customHeight="1">
      <c r="A404" s="81"/>
      <c r="B404" s="76"/>
      <c r="C404" s="124"/>
      <c r="D404" s="169"/>
      <c r="E404" s="104"/>
      <c r="F404" s="76"/>
      <c r="G404" s="320"/>
      <c r="H404" s="76"/>
      <c r="K404" s="78"/>
    </row>
    <row r="405" spans="1:11" ht="25.5" customHeight="1">
      <c r="A405" s="126">
        <v>189</v>
      </c>
      <c r="B405" s="187" t="s">
        <v>698</v>
      </c>
      <c r="C405" s="4" t="s">
        <v>779</v>
      </c>
      <c r="D405" s="10" t="s">
        <v>2363</v>
      </c>
      <c r="E405" s="1">
        <f>17000*1.07</f>
        <v>18190</v>
      </c>
      <c r="F405" s="101" t="s">
        <v>2354</v>
      </c>
      <c r="G405" s="171" t="s">
        <v>2364</v>
      </c>
      <c r="H405" s="70">
        <v>1</v>
      </c>
      <c r="K405" s="78"/>
    </row>
    <row r="406" spans="1:11" ht="25.5" customHeight="1">
      <c r="A406" s="71"/>
      <c r="B406" s="76"/>
      <c r="C406" s="124"/>
      <c r="D406" s="159" t="s">
        <v>2365</v>
      </c>
      <c r="E406" s="104"/>
      <c r="F406" s="76"/>
      <c r="G406" s="320"/>
      <c r="H406" s="76"/>
      <c r="K406" s="78"/>
    </row>
    <row r="407" spans="1:11" ht="25.5" customHeight="1">
      <c r="A407" s="81">
        <v>190</v>
      </c>
      <c r="B407" s="22" t="s">
        <v>58</v>
      </c>
      <c r="C407" s="4" t="s">
        <v>270</v>
      </c>
      <c r="D407" s="10" t="s">
        <v>2366</v>
      </c>
      <c r="E407" s="1">
        <f>12000*1.07</f>
        <v>12840</v>
      </c>
      <c r="F407" s="101" t="s">
        <v>2354</v>
      </c>
      <c r="G407" s="171" t="s">
        <v>2367</v>
      </c>
      <c r="H407" s="70">
        <v>1</v>
      </c>
      <c r="K407" s="78"/>
    </row>
    <row r="408" spans="1:11" ht="25.5" customHeight="1">
      <c r="A408" s="81"/>
      <c r="B408" s="157"/>
      <c r="C408" s="124"/>
      <c r="D408" s="169"/>
      <c r="E408" s="104"/>
      <c r="F408" s="76"/>
      <c r="G408" s="320"/>
      <c r="H408" s="76"/>
      <c r="K408" s="78"/>
    </row>
    <row r="409" spans="1:11" ht="25.5" customHeight="1">
      <c r="A409" s="126">
        <v>191</v>
      </c>
      <c r="B409" s="22" t="s">
        <v>2388</v>
      </c>
      <c r="C409" s="123" t="s">
        <v>2389</v>
      </c>
      <c r="D409" s="241" t="s">
        <v>2390</v>
      </c>
      <c r="E409" s="208">
        <v>312975</v>
      </c>
      <c r="F409" s="101" t="s">
        <v>2354</v>
      </c>
      <c r="G409" s="328" t="s">
        <v>2391</v>
      </c>
      <c r="H409" s="70">
        <v>1</v>
      </c>
      <c r="K409" s="78"/>
    </row>
    <row r="410" spans="1:11" ht="25.5" customHeight="1">
      <c r="A410" s="71"/>
      <c r="B410" s="76"/>
      <c r="C410" s="124"/>
      <c r="D410" s="169"/>
      <c r="E410" s="104"/>
      <c r="F410" s="76"/>
      <c r="G410" s="320"/>
      <c r="H410" s="76"/>
      <c r="K410" s="78"/>
    </row>
    <row r="411" spans="1:11">
      <c r="A411" s="352" t="s">
        <v>561</v>
      </c>
      <c r="B411" s="353" t="s">
        <v>0</v>
      </c>
      <c r="C411" s="354" t="s">
        <v>1</v>
      </c>
      <c r="D411" s="355" t="s">
        <v>2</v>
      </c>
      <c r="E411" s="352" t="s">
        <v>3</v>
      </c>
      <c r="F411" s="356" t="s">
        <v>4</v>
      </c>
      <c r="G411" s="354"/>
      <c r="H411" s="352" t="s">
        <v>5</v>
      </c>
    </row>
    <row r="412" spans="1:11" ht="51.75" customHeight="1">
      <c r="A412" s="357"/>
      <c r="B412" s="358"/>
      <c r="C412" s="354"/>
      <c r="D412" s="355"/>
      <c r="E412" s="357"/>
      <c r="F412" s="359" t="s">
        <v>6</v>
      </c>
      <c r="G412" s="360" t="s">
        <v>7</v>
      </c>
      <c r="H412" s="357"/>
    </row>
    <row r="413" spans="1:11">
      <c r="A413" s="361">
        <v>192</v>
      </c>
      <c r="B413" s="362" t="s">
        <v>9</v>
      </c>
      <c r="C413" s="363" t="s">
        <v>10</v>
      </c>
      <c r="D413" s="364" t="s">
        <v>2392</v>
      </c>
      <c r="E413" s="365">
        <f>1800*1.07</f>
        <v>1926</v>
      </c>
      <c r="F413" s="366" t="s">
        <v>2393</v>
      </c>
      <c r="G413" s="367" t="s">
        <v>2394</v>
      </c>
      <c r="H413" s="361">
        <v>1</v>
      </c>
    </row>
    <row r="414" spans="1:11">
      <c r="A414" s="368"/>
      <c r="B414" s="369"/>
      <c r="C414" s="370"/>
      <c r="D414" s="371"/>
      <c r="E414" s="372"/>
      <c r="F414" s="368"/>
      <c r="G414" s="373"/>
      <c r="H414" s="368"/>
    </row>
    <row r="415" spans="1:11">
      <c r="A415" s="361">
        <v>193</v>
      </c>
      <c r="B415" s="374" t="s">
        <v>14</v>
      </c>
      <c r="C415" s="375" t="s">
        <v>15</v>
      </c>
      <c r="D415" s="376" t="s">
        <v>2395</v>
      </c>
      <c r="E415" s="377">
        <f>4265*1.07</f>
        <v>4563.55</v>
      </c>
      <c r="F415" s="366" t="s">
        <v>2393</v>
      </c>
      <c r="G415" s="378" t="s">
        <v>2396</v>
      </c>
      <c r="H415" s="379">
        <v>1</v>
      </c>
    </row>
    <row r="416" spans="1:11">
      <c r="A416" s="368"/>
      <c r="B416" s="369"/>
      <c r="C416" s="370"/>
      <c r="D416" s="371" t="s">
        <v>226</v>
      </c>
      <c r="E416" s="372"/>
      <c r="F416" s="368"/>
      <c r="G416" s="373"/>
      <c r="H416" s="379"/>
    </row>
    <row r="417" spans="1:8">
      <c r="A417" s="361">
        <v>194</v>
      </c>
      <c r="B417" s="380" t="s">
        <v>23</v>
      </c>
      <c r="C417" s="375" t="s">
        <v>24</v>
      </c>
      <c r="D417" s="376" t="s">
        <v>2397</v>
      </c>
      <c r="E417" s="381">
        <f>3800*1.07</f>
        <v>4066.0000000000005</v>
      </c>
      <c r="F417" s="366" t="s">
        <v>2393</v>
      </c>
      <c r="G417" s="378" t="s">
        <v>2398</v>
      </c>
      <c r="H417" s="361">
        <v>1</v>
      </c>
    </row>
    <row r="418" spans="1:8">
      <c r="A418" s="368"/>
      <c r="B418" s="382"/>
      <c r="C418" s="370"/>
      <c r="D418" s="371" t="s">
        <v>636</v>
      </c>
      <c r="E418" s="383"/>
      <c r="F418" s="368"/>
      <c r="G418" s="373"/>
      <c r="H418" s="368"/>
    </row>
    <row r="419" spans="1:8">
      <c r="A419" s="361">
        <v>195</v>
      </c>
      <c r="B419" s="384" t="s">
        <v>27</v>
      </c>
      <c r="C419" s="375" t="s">
        <v>28</v>
      </c>
      <c r="D419" s="376" t="s">
        <v>2399</v>
      </c>
      <c r="E419" s="377">
        <f>28500*1.07</f>
        <v>30495</v>
      </c>
      <c r="F419" s="366" t="s">
        <v>2393</v>
      </c>
      <c r="G419" s="378" t="s">
        <v>2400</v>
      </c>
      <c r="H419" s="361">
        <v>1</v>
      </c>
    </row>
    <row r="420" spans="1:8">
      <c r="A420" s="368"/>
      <c r="B420" s="385"/>
      <c r="C420" s="375"/>
      <c r="D420" s="376" t="s">
        <v>2401</v>
      </c>
      <c r="E420" s="386"/>
      <c r="F420" s="379"/>
      <c r="G420" s="378"/>
      <c r="H420" s="368"/>
    </row>
    <row r="421" spans="1:8">
      <c r="A421" s="361">
        <v>196</v>
      </c>
      <c r="B421" s="325" t="s">
        <v>124</v>
      </c>
      <c r="C421" s="363" t="s">
        <v>290</v>
      </c>
      <c r="D421" s="387" t="s">
        <v>2402</v>
      </c>
      <c r="E421" s="365">
        <f>37600*1.07</f>
        <v>40232</v>
      </c>
      <c r="F421" s="366" t="s">
        <v>2393</v>
      </c>
      <c r="G421" s="367" t="s">
        <v>2403</v>
      </c>
      <c r="H421" s="379">
        <v>1</v>
      </c>
    </row>
    <row r="422" spans="1:8">
      <c r="A422" s="368"/>
      <c r="B422" s="379"/>
      <c r="C422" s="370"/>
      <c r="D422" s="388"/>
      <c r="E422" s="372"/>
      <c r="F422" s="368"/>
      <c r="G422" s="373"/>
      <c r="H422" s="379"/>
    </row>
    <row r="423" spans="1:8">
      <c r="A423" s="361">
        <v>197</v>
      </c>
      <c r="B423" s="384" t="s">
        <v>27</v>
      </c>
      <c r="C423" s="375" t="s">
        <v>80</v>
      </c>
      <c r="D423" s="376" t="s">
        <v>2404</v>
      </c>
      <c r="E423" s="377">
        <f>53880*1.07</f>
        <v>57651.600000000006</v>
      </c>
      <c r="F423" s="366" t="s">
        <v>2405</v>
      </c>
      <c r="G423" s="378" t="s">
        <v>2406</v>
      </c>
      <c r="H423" s="361">
        <v>1</v>
      </c>
    </row>
    <row r="424" spans="1:8">
      <c r="A424" s="368"/>
      <c r="B424" s="369"/>
      <c r="C424" s="375"/>
      <c r="D424" s="389" t="s">
        <v>2407</v>
      </c>
      <c r="E424" s="386"/>
      <c r="F424" s="379"/>
      <c r="G424" s="378"/>
      <c r="H424" s="368"/>
    </row>
    <row r="425" spans="1:8">
      <c r="A425" s="361">
        <v>198</v>
      </c>
      <c r="B425" s="362" t="s">
        <v>1244</v>
      </c>
      <c r="C425" s="363" t="s">
        <v>2408</v>
      </c>
      <c r="D425" s="387" t="s">
        <v>2409</v>
      </c>
      <c r="E425" s="365">
        <f>93450*1.07</f>
        <v>99991.5</v>
      </c>
      <c r="F425" s="366" t="s">
        <v>2405</v>
      </c>
      <c r="G425" s="367" t="s">
        <v>2410</v>
      </c>
      <c r="H425" s="361">
        <v>1</v>
      </c>
    </row>
    <row r="426" spans="1:8">
      <c r="A426" s="368"/>
      <c r="B426" s="369"/>
      <c r="C426" s="370"/>
      <c r="D426" s="371"/>
      <c r="E426" s="372"/>
      <c r="F426" s="368"/>
      <c r="G426" s="373"/>
      <c r="H426" s="368"/>
    </row>
    <row r="427" spans="1:8">
      <c r="A427" s="361">
        <v>199</v>
      </c>
      <c r="B427" s="380" t="s">
        <v>115</v>
      </c>
      <c r="C427" s="465" t="s">
        <v>116</v>
      </c>
      <c r="D427" s="466" t="s">
        <v>2674</v>
      </c>
      <c r="E427" s="467">
        <v>479360</v>
      </c>
      <c r="F427" s="366" t="s">
        <v>2675</v>
      </c>
      <c r="G427" s="468" t="s">
        <v>2676</v>
      </c>
      <c r="H427" s="361">
        <v>1</v>
      </c>
    </row>
    <row r="428" spans="1:8">
      <c r="A428" s="368"/>
      <c r="B428" s="368"/>
      <c r="C428" s="450"/>
      <c r="D428" s="460" t="s">
        <v>2677</v>
      </c>
      <c r="E428" s="372"/>
      <c r="F428" s="368"/>
      <c r="G428" s="441"/>
      <c r="H428" s="368"/>
    </row>
    <row r="429" spans="1:8">
      <c r="A429" s="361">
        <v>200</v>
      </c>
      <c r="B429" s="380" t="s">
        <v>1032</v>
      </c>
      <c r="C429" s="375" t="s">
        <v>505</v>
      </c>
      <c r="D429" s="376" t="s">
        <v>2411</v>
      </c>
      <c r="E429" s="377">
        <f>91430*1.07</f>
        <v>97830.1</v>
      </c>
      <c r="F429" s="366" t="s">
        <v>2412</v>
      </c>
      <c r="G429" s="378" t="s">
        <v>2413</v>
      </c>
      <c r="H429" s="379">
        <v>1</v>
      </c>
    </row>
    <row r="430" spans="1:8">
      <c r="A430" s="368"/>
      <c r="B430" s="369"/>
      <c r="C430" s="370"/>
      <c r="D430" s="371" t="s">
        <v>138</v>
      </c>
      <c r="E430" s="372"/>
      <c r="F430" s="368"/>
      <c r="G430" s="373"/>
      <c r="H430" s="379"/>
    </row>
    <row r="431" spans="1:8">
      <c r="A431" s="361">
        <v>201</v>
      </c>
      <c r="B431" s="390" t="s">
        <v>1943</v>
      </c>
      <c r="C431" s="375" t="s">
        <v>1093</v>
      </c>
      <c r="D431" s="376" t="s">
        <v>2414</v>
      </c>
      <c r="E431" s="377">
        <f>51000*1.07</f>
        <v>54570</v>
      </c>
      <c r="F431" s="366" t="s">
        <v>2412</v>
      </c>
      <c r="G431" s="378" t="s">
        <v>2415</v>
      </c>
      <c r="H431" s="361">
        <v>1</v>
      </c>
    </row>
    <row r="432" spans="1:8">
      <c r="A432" s="368"/>
      <c r="B432" s="369"/>
      <c r="C432" s="370" t="s">
        <v>1097</v>
      </c>
      <c r="D432" s="371"/>
      <c r="E432" s="372"/>
      <c r="F432" s="368"/>
      <c r="G432" s="373"/>
      <c r="H432" s="368"/>
    </row>
    <row r="433" spans="1:8">
      <c r="A433" s="361">
        <v>202</v>
      </c>
      <c r="B433" s="380" t="s">
        <v>435</v>
      </c>
      <c r="C433" s="375" t="s">
        <v>436</v>
      </c>
      <c r="D433" s="376" t="s">
        <v>2416</v>
      </c>
      <c r="E433" s="377">
        <f>44200*1.07</f>
        <v>47294</v>
      </c>
      <c r="F433" s="366" t="s">
        <v>2412</v>
      </c>
      <c r="G433" s="378" t="s">
        <v>2417</v>
      </c>
      <c r="H433" s="379">
        <v>1</v>
      </c>
    </row>
    <row r="434" spans="1:8">
      <c r="A434" s="368"/>
      <c r="B434" s="382"/>
      <c r="C434" s="370"/>
      <c r="D434" s="376" t="s">
        <v>2418</v>
      </c>
      <c r="E434" s="383"/>
      <c r="F434" s="391"/>
      <c r="G434" s="373"/>
      <c r="H434" s="379"/>
    </row>
    <row r="435" spans="1:8">
      <c r="A435" s="361">
        <v>203</v>
      </c>
      <c r="B435" s="390" t="s">
        <v>967</v>
      </c>
      <c r="C435" s="375" t="s">
        <v>2297</v>
      </c>
      <c r="D435" s="387" t="s">
        <v>2419</v>
      </c>
      <c r="E435" s="377">
        <f>48300*1.07</f>
        <v>51681</v>
      </c>
      <c r="F435" s="366" t="s">
        <v>2412</v>
      </c>
      <c r="G435" s="378" t="s">
        <v>2420</v>
      </c>
      <c r="H435" s="361">
        <v>1</v>
      </c>
    </row>
    <row r="436" spans="1:8">
      <c r="A436" s="368"/>
      <c r="B436" s="369"/>
      <c r="C436" s="370"/>
      <c r="D436" s="371" t="s">
        <v>19</v>
      </c>
      <c r="E436" s="372"/>
      <c r="F436" s="392"/>
      <c r="G436" s="373"/>
      <c r="H436" s="368"/>
    </row>
    <row r="437" spans="1:8">
      <c r="A437" s="361">
        <v>204</v>
      </c>
      <c r="B437" s="393" t="s">
        <v>9</v>
      </c>
      <c r="C437" s="375" t="s">
        <v>50</v>
      </c>
      <c r="D437" s="376" t="s">
        <v>2421</v>
      </c>
      <c r="E437" s="377">
        <f>1560*1.07</f>
        <v>1669.2</v>
      </c>
      <c r="F437" s="366" t="s">
        <v>2412</v>
      </c>
      <c r="G437" s="378" t="s">
        <v>2422</v>
      </c>
      <c r="H437" s="379">
        <v>1</v>
      </c>
    </row>
    <row r="438" spans="1:8">
      <c r="A438" s="368"/>
      <c r="B438" s="369"/>
      <c r="C438" s="370"/>
      <c r="D438" s="371" t="s">
        <v>138</v>
      </c>
      <c r="E438" s="372"/>
      <c r="F438" s="368"/>
      <c r="G438" s="373"/>
      <c r="H438" s="368"/>
    </row>
    <row r="439" spans="1:8">
      <c r="A439" s="361">
        <v>205</v>
      </c>
      <c r="B439" s="394" t="s">
        <v>1189</v>
      </c>
      <c r="C439" s="375" t="s">
        <v>1190</v>
      </c>
      <c r="D439" s="386" t="s">
        <v>2423</v>
      </c>
      <c r="E439" s="377">
        <f>2600*1.07</f>
        <v>2782</v>
      </c>
      <c r="F439" s="366" t="s">
        <v>2412</v>
      </c>
      <c r="G439" s="378" t="s">
        <v>2424</v>
      </c>
      <c r="H439" s="361">
        <v>1</v>
      </c>
    </row>
    <row r="440" spans="1:8">
      <c r="A440" s="368"/>
      <c r="B440" s="369"/>
      <c r="C440" s="370"/>
      <c r="D440" s="376" t="s">
        <v>2425</v>
      </c>
      <c r="E440" s="372"/>
      <c r="F440" s="368"/>
      <c r="G440" s="373"/>
      <c r="H440" s="368"/>
    </row>
    <row r="441" spans="1:8">
      <c r="A441" s="361">
        <v>206</v>
      </c>
      <c r="B441" s="395" t="s">
        <v>183</v>
      </c>
      <c r="C441" s="363" t="s">
        <v>184</v>
      </c>
      <c r="D441" s="387" t="s">
        <v>2426</v>
      </c>
      <c r="E441" s="365">
        <f>48555*1.07</f>
        <v>51953.850000000006</v>
      </c>
      <c r="F441" s="366" t="s">
        <v>2412</v>
      </c>
      <c r="G441" s="367" t="s">
        <v>2427</v>
      </c>
      <c r="H441" s="361">
        <v>1</v>
      </c>
    </row>
    <row r="442" spans="1:8">
      <c r="A442" s="368"/>
      <c r="B442" s="369"/>
      <c r="C442" s="370"/>
      <c r="D442" s="371" t="s">
        <v>19</v>
      </c>
      <c r="E442" s="372"/>
      <c r="F442" s="368"/>
      <c r="G442" s="373"/>
      <c r="H442" s="368"/>
    </row>
    <row r="443" spans="1:8">
      <c r="A443" s="361">
        <v>207</v>
      </c>
      <c r="B443" s="362" t="s">
        <v>54</v>
      </c>
      <c r="C443" s="375" t="s">
        <v>243</v>
      </c>
      <c r="D443" s="376" t="s">
        <v>2428</v>
      </c>
      <c r="E443" s="377">
        <f>7245*1.07</f>
        <v>7752.1500000000005</v>
      </c>
      <c r="F443" s="366" t="s">
        <v>2412</v>
      </c>
      <c r="G443" s="378" t="s">
        <v>2429</v>
      </c>
      <c r="H443" s="361">
        <v>1</v>
      </c>
    </row>
    <row r="444" spans="1:8">
      <c r="A444" s="368"/>
      <c r="B444" s="382"/>
      <c r="C444" s="370"/>
      <c r="D444" s="371" t="s">
        <v>226</v>
      </c>
      <c r="E444" s="383"/>
      <c r="F444" s="368"/>
      <c r="G444" s="373"/>
      <c r="H444" s="368"/>
    </row>
    <row r="445" spans="1:8">
      <c r="A445" s="352" t="s">
        <v>561</v>
      </c>
      <c r="B445" s="353" t="s">
        <v>0</v>
      </c>
      <c r="C445" s="354" t="s">
        <v>1</v>
      </c>
      <c r="D445" s="355" t="s">
        <v>2</v>
      </c>
      <c r="E445" s="352" t="s">
        <v>3</v>
      </c>
      <c r="F445" s="356" t="s">
        <v>4</v>
      </c>
      <c r="G445" s="354"/>
      <c r="H445" s="352" t="s">
        <v>5</v>
      </c>
    </row>
    <row r="446" spans="1:8" ht="51.75" customHeight="1">
      <c r="A446" s="357"/>
      <c r="B446" s="358"/>
      <c r="C446" s="354"/>
      <c r="D446" s="355"/>
      <c r="E446" s="357"/>
      <c r="F446" s="359" t="s">
        <v>6</v>
      </c>
      <c r="G446" s="360" t="s">
        <v>7</v>
      </c>
      <c r="H446" s="357"/>
    </row>
    <row r="447" spans="1:8">
      <c r="A447" s="379">
        <v>208</v>
      </c>
      <c r="B447" s="399" t="s">
        <v>9</v>
      </c>
      <c r="C447" s="400" t="s">
        <v>50</v>
      </c>
      <c r="D447" s="386" t="s">
        <v>2430</v>
      </c>
      <c r="E447" s="365">
        <f>46740*1.07</f>
        <v>50011.8</v>
      </c>
      <c r="F447" s="366" t="s">
        <v>2412</v>
      </c>
      <c r="G447" s="401" t="s">
        <v>2431</v>
      </c>
      <c r="H447" s="379">
        <v>1</v>
      </c>
    </row>
    <row r="448" spans="1:8">
      <c r="A448" s="368"/>
      <c r="B448" s="369"/>
      <c r="C448" s="370"/>
      <c r="D448" s="371" t="s">
        <v>1127</v>
      </c>
      <c r="E448" s="372"/>
      <c r="F448" s="368"/>
      <c r="G448" s="373"/>
      <c r="H448" s="368"/>
    </row>
    <row r="449" spans="1:8">
      <c r="A449" s="361">
        <v>209</v>
      </c>
      <c r="B449" s="390" t="s">
        <v>1822</v>
      </c>
      <c r="C449" s="387" t="s">
        <v>1823</v>
      </c>
      <c r="D449" s="387" t="s">
        <v>2432</v>
      </c>
      <c r="E449" s="402">
        <f>69000*1.07</f>
        <v>73830</v>
      </c>
      <c r="F449" s="366" t="s">
        <v>2433</v>
      </c>
      <c r="G449" s="401" t="s">
        <v>2434</v>
      </c>
      <c r="H449" s="379">
        <v>1</v>
      </c>
    </row>
    <row r="450" spans="1:8">
      <c r="A450" s="368"/>
      <c r="B450" s="369"/>
      <c r="C450" s="388"/>
      <c r="D450" s="371"/>
      <c r="E450" s="403"/>
      <c r="F450" s="368"/>
      <c r="G450" s="373"/>
      <c r="H450" s="379"/>
    </row>
    <row r="451" spans="1:8">
      <c r="A451" s="379">
        <v>210</v>
      </c>
      <c r="B451" s="390" t="s">
        <v>1213</v>
      </c>
      <c r="C451" s="376" t="s">
        <v>534</v>
      </c>
      <c r="D451" s="376" t="s">
        <v>2435</v>
      </c>
      <c r="E451" s="402">
        <f>36899*1.07</f>
        <v>39481.93</v>
      </c>
      <c r="F451" s="366" t="s">
        <v>2433</v>
      </c>
      <c r="G451" s="401" t="s">
        <v>2436</v>
      </c>
      <c r="H451" s="361">
        <v>1</v>
      </c>
    </row>
    <row r="452" spans="1:8">
      <c r="A452" s="368"/>
      <c r="B452" s="369"/>
      <c r="C452" s="388"/>
      <c r="D452" s="371" t="s">
        <v>138</v>
      </c>
      <c r="E452" s="403"/>
      <c r="F452" s="368"/>
      <c r="G452" s="373"/>
      <c r="H452" s="368"/>
    </row>
    <row r="453" spans="1:8">
      <c r="A453" s="361">
        <v>211</v>
      </c>
      <c r="B453" s="394" t="s">
        <v>743</v>
      </c>
      <c r="C453" s="376" t="s">
        <v>962</v>
      </c>
      <c r="D453" s="386" t="s">
        <v>2437</v>
      </c>
      <c r="E453" s="402">
        <f>83700*1.07</f>
        <v>89559</v>
      </c>
      <c r="F453" s="366" t="s">
        <v>2433</v>
      </c>
      <c r="G453" s="401" t="s">
        <v>2438</v>
      </c>
      <c r="H453" s="361">
        <v>1</v>
      </c>
    </row>
    <row r="454" spans="1:8">
      <c r="A454" s="368"/>
      <c r="B454" s="369"/>
      <c r="C454" s="388"/>
      <c r="D454" s="371" t="s">
        <v>19</v>
      </c>
      <c r="E454" s="403"/>
      <c r="F454" s="368"/>
      <c r="G454" s="373"/>
      <c r="H454" s="368"/>
    </row>
    <row r="455" spans="1:8">
      <c r="A455" s="379">
        <v>212</v>
      </c>
      <c r="B455" s="404" t="s">
        <v>27</v>
      </c>
      <c r="C455" s="376" t="s">
        <v>28</v>
      </c>
      <c r="D455" s="376" t="s">
        <v>2439</v>
      </c>
      <c r="E455" s="402">
        <f>64500*1.07</f>
        <v>69015</v>
      </c>
      <c r="F455" s="366" t="s">
        <v>2433</v>
      </c>
      <c r="G455" s="401" t="s">
        <v>2440</v>
      </c>
      <c r="H455" s="379">
        <v>1</v>
      </c>
    </row>
    <row r="456" spans="1:8">
      <c r="A456" s="368"/>
      <c r="B456" s="369"/>
      <c r="C456" s="388"/>
      <c r="D456" s="371"/>
      <c r="E456" s="403"/>
      <c r="F456" s="368"/>
      <c r="G456" s="405"/>
      <c r="H456" s="368"/>
    </row>
    <row r="457" spans="1:8">
      <c r="A457" s="361">
        <v>213</v>
      </c>
      <c r="B457" s="380" t="s">
        <v>274</v>
      </c>
      <c r="C457" s="376" t="s">
        <v>275</v>
      </c>
      <c r="D457" s="376" t="s">
        <v>2441</v>
      </c>
      <c r="E457" s="402">
        <f>60000*1.07</f>
        <v>64200.000000000007</v>
      </c>
      <c r="F457" s="366" t="s">
        <v>2433</v>
      </c>
      <c r="G457" s="401" t="s">
        <v>2442</v>
      </c>
      <c r="H457" s="379">
        <v>1</v>
      </c>
    </row>
    <row r="458" spans="1:8">
      <c r="A458" s="368"/>
      <c r="B458" s="369"/>
      <c r="C458" s="388"/>
      <c r="D458" s="371" t="s">
        <v>138</v>
      </c>
      <c r="E458" s="403"/>
      <c r="F458" s="368"/>
      <c r="G458" s="373"/>
      <c r="H458" s="368"/>
    </row>
    <row r="459" spans="1:8">
      <c r="A459" s="379">
        <v>214</v>
      </c>
      <c r="B459" s="406" t="s">
        <v>54</v>
      </c>
      <c r="C459" s="400" t="s">
        <v>243</v>
      </c>
      <c r="D459" s="387" t="s">
        <v>2443</v>
      </c>
      <c r="E459" s="402">
        <f>4787*1.07</f>
        <v>5122.09</v>
      </c>
      <c r="F459" s="366" t="s">
        <v>2433</v>
      </c>
      <c r="G459" s="401" t="s">
        <v>2444</v>
      </c>
      <c r="H459" s="379">
        <v>1</v>
      </c>
    </row>
    <row r="460" spans="1:8">
      <c r="A460" s="368"/>
      <c r="B460" s="385"/>
      <c r="C460" s="375"/>
      <c r="D460" s="407" t="s">
        <v>543</v>
      </c>
      <c r="E460" s="408"/>
      <c r="F460" s="379"/>
      <c r="G460" s="378"/>
      <c r="H460" s="379"/>
    </row>
    <row r="461" spans="1:8">
      <c r="A461" s="361">
        <v>215</v>
      </c>
      <c r="B461" s="406" t="s">
        <v>54</v>
      </c>
      <c r="C461" s="363" t="s">
        <v>243</v>
      </c>
      <c r="D461" s="387" t="s">
        <v>2445</v>
      </c>
      <c r="E461" s="409">
        <f>7790*1.07</f>
        <v>8335.3000000000011</v>
      </c>
      <c r="F461" s="366" t="s">
        <v>2433</v>
      </c>
      <c r="G461" s="367" t="s">
        <v>2446</v>
      </c>
      <c r="H461" s="361">
        <v>1</v>
      </c>
    </row>
    <row r="462" spans="1:8">
      <c r="A462" s="368"/>
      <c r="B462" s="369"/>
      <c r="C462" s="370"/>
      <c r="D462" s="371" t="s">
        <v>138</v>
      </c>
      <c r="E462" s="403"/>
      <c r="F462" s="368"/>
      <c r="G462" s="373"/>
      <c r="H462" s="368"/>
    </row>
    <row r="463" spans="1:8">
      <c r="A463" s="379">
        <v>216</v>
      </c>
      <c r="B463" s="406" t="s">
        <v>54</v>
      </c>
      <c r="C463" s="400" t="s">
        <v>243</v>
      </c>
      <c r="D463" s="376" t="s">
        <v>2447</v>
      </c>
      <c r="E463" s="402">
        <f>2600*1.07</f>
        <v>2782</v>
      </c>
      <c r="F463" s="366" t="s">
        <v>2433</v>
      </c>
      <c r="G463" s="401" t="s">
        <v>2448</v>
      </c>
      <c r="H463" s="361">
        <v>1</v>
      </c>
    </row>
    <row r="464" spans="1:8">
      <c r="A464" s="368"/>
      <c r="B464" s="382"/>
      <c r="C464" s="370"/>
      <c r="D464" s="371"/>
      <c r="E464" s="410"/>
      <c r="F464" s="391"/>
      <c r="G464" s="373"/>
      <c r="H464" s="368"/>
    </row>
    <row r="465" spans="1:8">
      <c r="A465" s="361">
        <v>217</v>
      </c>
      <c r="B465" s="362" t="s">
        <v>9</v>
      </c>
      <c r="C465" s="387" t="s">
        <v>50</v>
      </c>
      <c r="D465" s="386" t="s">
        <v>2449</v>
      </c>
      <c r="E465" s="402">
        <f>2200*1.07</f>
        <v>2354</v>
      </c>
      <c r="F465" s="366" t="s">
        <v>2433</v>
      </c>
      <c r="G465" s="401" t="s">
        <v>2450</v>
      </c>
      <c r="H465" s="361">
        <v>1</v>
      </c>
    </row>
    <row r="466" spans="1:8">
      <c r="A466" s="368"/>
      <c r="B466" s="369"/>
      <c r="C466" s="388"/>
      <c r="D466" s="371" t="s">
        <v>138</v>
      </c>
      <c r="E466" s="403"/>
      <c r="F466" s="368"/>
      <c r="G466" s="373"/>
      <c r="H466" s="368"/>
    </row>
    <row r="467" spans="1:8">
      <c r="A467" s="379">
        <v>218</v>
      </c>
      <c r="B467" s="380" t="s">
        <v>141</v>
      </c>
      <c r="C467" s="387" t="s">
        <v>142</v>
      </c>
      <c r="D467" s="376" t="s">
        <v>2451</v>
      </c>
      <c r="E467" s="411">
        <f>408*1.07</f>
        <v>436.56</v>
      </c>
      <c r="F467" s="366" t="s">
        <v>2433</v>
      </c>
      <c r="G467" s="401" t="s">
        <v>2452</v>
      </c>
      <c r="H467" s="361">
        <v>1</v>
      </c>
    </row>
    <row r="468" spans="1:8">
      <c r="A468" s="368"/>
      <c r="B468" s="385"/>
      <c r="C468" s="388"/>
      <c r="D468" s="371" t="s">
        <v>138</v>
      </c>
      <c r="E468" s="408"/>
      <c r="F468" s="379"/>
      <c r="G468" s="378"/>
      <c r="H468" s="368"/>
    </row>
    <row r="469" spans="1:8">
      <c r="A469" s="361">
        <v>219</v>
      </c>
      <c r="B469" s="380" t="s">
        <v>435</v>
      </c>
      <c r="C469" s="465" t="s">
        <v>2678</v>
      </c>
      <c r="D469" s="466" t="s">
        <v>2679</v>
      </c>
      <c r="E469" s="467">
        <v>195810</v>
      </c>
      <c r="F469" s="366" t="s">
        <v>2433</v>
      </c>
      <c r="G469" s="469" t="s">
        <v>2680</v>
      </c>
      <c r="H469" s="361">
        <v>1</v>
      </c>
    </row>
    <row r="470" spans="1:8">
      <c r="A470" s="368"/>
      <c r="B470" s="368"/>
      <c r="C470" s="450"/>
      <c r="D470" s="460" t="s">
        <v>2681</v>
      </c>
      <c r="E470" s="372"/>
      <c r="F470" s="368"/>
      <c r="G470" s="456"/>
      <c r="H470" s="368"/>
    </row>
    <row r="471" spans="1:8">
      <c r="A471" s="379">
        <v>220</v>
      </c>
      <c r="B471" s="325" t="s">
        <v>124</v>
      </c>
      <c r="C471" s="465" t="s">
        <v>125</v>
      </c>
      <c r="D471" s="470" t="s">
        <v>2682</v>
      </c>
      <c r="E471" s="467">
        <v>419975</v>
      </c>
      <c r="F471" s="366" t="s">
        <v>2433</v>
      </c>
      <c r="G471" s="469" t="s">
        <v>2683</v>
      </c>
      <c r="H471" s="361">
        <v>1</v>
      </c>
    </row>
    <row r="472" spans="1:8">
      <c r="A472" s="368"/>
      <c r="B472" s="368"/>
      <c r="C472" s="450"/>
      <c r="D472" s="471" t="s">
        <v>559</v>
      </c>
      <c r="E472" s="372"/>
      <c r="F472" s="368"/>
      <c r="G472" s="441"/>
      <c r="H472" s="368"/>
    </row>
    <row r="473" spans="1:8">
      <c r="A473" s="361">
        <v>221</v>
      </c>
      <c r="B473" s="325" t="s">
        <v>733</v>
      </c>
      <c r="C473" s="451" t="s">
        <v>734</v>
      </c>
      <c r="D473" s="472" t="s">
        <v>2684</v>
      </c>
      <c r="E473" s="473">
        <v>351281</v>
      </c>
      <c r="F473" s="366" t="s">
        <v>2433</v>
      </c>
      <c r="G473" s="469" t="s">
        <v>2685</v>
      </c>
      <c r="H473" s="361">
        <v>1</v>
      </c>
    </row>
    <row r="474" spans="1:8">
      <c r="A474" s="368"/>
      <c r="B474" s="379"/>
      <c r="C474" s="451"/>
      <c r="D474" s="472"/>
      <c r="E474" s="386"/>
      <c r="F474" s="379"/>
      <c r="G474" s="455"/>
      <c r="H474" s="368"/>
    </row>
    <row r="475" spans="1:8">
      <c r="A475" s="379">
        <v>222</v>
      </c>
      <c r="B475" s="413" t="s">
        <v>40</v>
      </c>
      <c r="C475" s="387" t="s">
        <v>594</v>
      </c>
      <c r="D475" s="387" t="s">
        <v>2453</v>
      </c>
      <c r="E475" s="414">
        <f>22000*1.07</f>
        <v>23540</v>
      </c>
      <c r="F475" s="366" t="s">
        <v>2454</v>
      </c>
      <c r="G475" s="367" t="s">
        <v>2455</v>
      </c>
      <c r="H475" s="361">
        <v>1</v>
      </c>
    </row>
    <row r="476" spans="1:8">
      <c r="A476" s="368"/>
      <c r="B476" s="369"/>
      <c r="C476" s="388"/>
      <c r="D476" s="433" t="s">
        <v>2456</v>
      </c>
      <c r="E476" s="372"/>
      <c r="F476" s="368"/>
      <c r="G476" s="373"/>
      <c r="H476" s="368"/>
    </row>
    <row r="477" spans="1:8">
      <c r="A477" s="361">
        <v>223</v>
      </c>
      <c r="B477" s="325" t="s">
        <v>124</v>
      </c>
      <c r="C477" s="415" t="s">
        <v>290</v>
      </c>
      <c r="D477" s="387" t="s">
        <v>1962</v>
      </c>
      <c r="E477" s="409">
        <f>62000*1.07</f>
        <v>66340</v>
      </c>
      <c r="F477" s="366" t="s">
        <v>2454</v>
      </c>
      <c r="G477" s="367" t="s">
        <v>2457</v>
      </c>
      <c r="H477" s="361">
        <v>1</v>
      </c>
    </row>
    <row r="478" spans="1:8">
      <c r="A478" s="368"/>
      <c r="B478" s="379"/>
      <c r="C478" s="370"/>
      <c r="D478" s="371"/>
      <c r="E478" s="403"/>
      <c r="F478" s="368"/>
      <c r="G478" s="373"/>
      <c r="H478" s="379"/>
    </row>
    <row r="479" spans="1:8">
      <c r="A479" s="352" t="s">
        <v>561</v>
      </c>
      <c r="B479" s="418" t="s">
        <v>0</v>
      </c>
      <c r="C479" s="355" t="s">
        <v>1</v>
      </c>
      <c r="D479" s="354" t="s">
        <v>2</v>
      </c>
      <c r="E479" s="419" t="s">
        <v>3</v>
      </c>
      <c r="F479" s="356" t="s">
        <v>4</v>
      </c>
      <c r="G479" s="354"/>
      <c r="H479" s="352" t="s">
        <v>5</v>
      </c>
    </row>
    <row r="480" spans="1:8" ht="51.75" customHeight="1">
      <c r="A480" s="357"/>
      <c r="B480" s="420"/>
      <c r="C480" s="355"/>
      <c r="D480" s="354"/>
      <c r="E480" s="421"/>
      <c r="F480" s="359" t="s">
        <v>6</v>
      </c>
      <c r="G480" s="360" t="s">
        <v>7</v>
      </c>
      <c r="H480" s="357"/>
    </row>
    <row r="481" spans="1:8">
      <c r="A481" s="379">
        <v>224</v>
      </c>
      <c r="B481" s="380" t="s">
        <v>2184</v>
      </c>
      <c r="C481" s="415" t="s">
        <v>475</v>
      </c>
      <c r="D481" s="364" t="s">
        <v>2458</v>
      </c>
      <c r="E481" s="409">
        <f>93200*1.07</f>
        <v>99724</v>
      </c>
      <c r="F481" s="366" t="s">
        <v>2454</v>
      </c>
      <c r="G481" s="416" t="s">
        <v>2459</v>
      </c>
      <c r="H481" s="361">
        <v>1</v>
      </c>
    </row>
    <row r="482" spans="1:8">
      <c r="A482" s="368"/>
      <c r="B482" s="368"/>
      <c r="C482" s="417"/>
      <c r="D482" s="388" t="s">
        <v>2460</v>
      </c>
      <c r="E482" s="403"/>
      <c r="F482" s="368"/>
      <c r="G482" s="405"/>
      <c r="H482" s="368"/>
    </row>
    <row r="483" spans="1:8">
      <c r="A483" s="412">
        <v>225</v>
      </c>
      <c r="B483" s="394" t="s">
        <v>2461</v>
      </c>
      <c r="C483" s="415" t="s">
        <v>2462</v>
      </c>
      <c r="D483" s="387" t="s">
        <v>2463</v>
      </c>
      <c r="E483" s="409">
        <f>45600*1.07</f>
        <v>48792</v>
      </c>
      <c r="F483" s="366" t="s">
        <v>2454</v>
      </c>
      <c r="G483" s="367" t="s">
        <v>2464</v>
      </c>
      <c r="H483" s="361">
        <v>1</v>
      </c>
    </row>
    <row r="484" spans="1:8">
      <c r="A484" s="369"/>
      <c r="B484" s="379"/>
      <c r="C484" s="417"/>
      <c r="D484" s="371"/>
      <c r="E484" s="403"/>
      <c r="F484" s="368"/>
      <c r="G484" s="373"/>
      <c r="H484" s="368"/>
    </row>
    <row r="485" spans="1:8">
      <c r="A485" s="412">
        <v>226</v>
      </c>
      <c r="B485" s="406" t="s">
        <v>9</v>
      </c>
      <c r="C485" s="422" t="s">
        <v>159</v>
      </c>
      <c r="D485" s="387" t="s">
        <v>2465</v>
      </c>
      <c r="E485" s="409">
        <f>6000*1.07</f>
        <v>6420</v>
      </c>
      <c r="F485" s="366" t="s">
        <v>2454</v>
      </c>
      <c r="G485" s="367" t="s">
        <v>2466</v>
      </c>
      <c r="H485" s="361">
        <v>1</v>
      </c>
    </row>
    <row r="486" spans="1:8">
      <c r="A486" s="369"/>
      <c r="B486" s="368"/>
      <c r="C486" s="423"/>
      <c r="D486" s="372"/>
      <c r="E486" s="403"/>
      <c r="F486" s="368"/>
      <c r="G486" s="373"/>
      <c r="H486" s="368"/>
    </row>
    <row r="487" spans="1:8">
      <c r="A487" s="412">
        <v>227</v>
      </c>
      <c r="B487" s="380" t="s">
        <v>58</v>
      </c>
      <c r="C487" s="424" t="s">
        <v>270</v>
      </c>
      <c r="D487" s="376" t="s">
        <v>2467</v>
      </c>
      <c r="E487" s="402">
        <f>10440*1.07</f>
        <v>11170.800000000001</v>
      </c>
      <c r="F487" s="366" t="s">
        <v>2454</v>
      </c>
      <c r="G487" s="401" t="s">
        <v>2468</v>
      </c>
      <c r="H487" s="361">
        <v>1</v>
      </c>
    </row>
    <row r="488" spans="1:8">
      <c r="A488" s="369"/>
      <c r="B488" s="368"/>
      <c r="C488" s="423"/>
      <c r="D488" s="371" t="s">
        <v>138</v>
      </c>
      <c r="E488" s="403"/>
      <c r="F488" s="368"/>
      <c r="G488" s="373"/>
      <c r="H488" s="368"/>
    </row>
    <row r="489" spans="1:8">
      <c r="A489" s="412">
        <v>228</v>
      </c>
      <c r="B489" s="394" t="s">
        <v>1213</v>
      </c>
      <c r="C489" s="424" t="s">
        <v>534</v>
      </c>
      <c r="D489" s="376" t="s">
        <v>2469</v>
      </c>
      <c r="E489" s="402">
        <f>7514*1.07</f>
        <v>8039.9800000000005</v>
      </c>
      <c r="F489" s="366" t="s">
        <v>2454</v>
      </c>
      <c r="G489" s="401" t="s">
        <v>2470</v>
      </c>
      <c r="H489" s="361">
        <v>1</v>
      </c>
    </row>
    <row r="490" spans="1:8">
      <c r="A490" s="369"/>
      <c r="B490" s="368"/>
      <c r="C490" s="423"/>
      <c r="D490" s="407"/>
      <c r="E490" s="408"/>
      <c r="F490" s="379"/>
      <c r="G490" s="378"/>
      <c r="H490" s="379"/>
    </row>
    <row r="491" spans="1:8">
      <c r="A491" s="412">
        <v>229</v>
      </c>
      <c r="B491" s="325" t="s">
        <v>124</v>
      </c>
      <c r="C491" s="465" t="s">
        <v>125</v>
      </c>
      <c r="D491" s="466" t="s">
        <v>2686</v>
      </c>
      <c r="E491" s="474">
        <v>926363.2</v>
      </c>
      <c r="F491" s="366" t="s">
        <v>2454</v>
      </c>
      <c r="G491" s="469" t="s">
        <v>2687</v>
      </c>
      <c r="H491" s="361">
        <v>1</v>
      </c>
    </row>
    <row r="492" spans="1:8">
      <c r="A492" s="369"/>
      <c r="B492" s="368"/>
      <c r="C492" s="450"/>
      <c r="D492" s="460"/>
      <c r="E492" s="372"/>
      <c r="F492" s="368"/>
      <c r="G492" s="441"/>
      <c r="H492" s="368"/>
    </row>
    <row r="493" spans="1:8">
      <c r="A493" s="412">
        <v>230</v>
      </c>
      <c r="B493" s="380" t="s">
        <v>141</v>
      </c>
      <c r="C493" s="363" t="s">
        <v>142</v>
      </c>
      <c r="D493" s="387" t="s">
        <v>2471</v>
      </c>
      <c r="E493" s="409">
        <f>78150*1.07</f>
        <v>83620.5</v>
      </c>
      <c r="F493" s="366" t="s">
        <v>2472</v>
      </c>
      <c r="G493" s="416" t="s">
        <v>2473</v>
      </c>
      <c r="H493" s="361">
        <v>1</v>
      </c>
    </row>
    <row r="494" spans="1:8">
      <c r="A494" s="369"/>
      <c r="B494" s="368"/>
      <c r="C494" s="370"/>
      <c r="D494" s="371" t="s">
        <v>207</v>
      </c>
      <c r="E494" s="403"/>
      <c r="F494" s="368"/>
      <c r="G494" s="373"/>
      <c r="H494" s="368"/>
    </row>
    <row r="495" spans="1:8">
      <c r="A495" s="412">
        <v>231</v>
      </c>
      <c r="B495" s="380" t="s">
        <v>1458</v>
      </c>
      <c r="C495" s="400" t="s">
        <v>1694</v>
      </c>
      <c r="D495" s="376" t="s">
        <v>2474</v>
      </c>
      <c r="E495" s="402">
        <f>59100*1.07</f>
        <v>63237.000000000007</v>
      </c>
      <c r="F495" s="366" t="s">
        <v>2472</v>
      </c>
      <c r="G495" s="401" t="s">
        <v>2475</v>
      </c>
      <c r="H495" s="361">
        <v>1</v>
      </c>
    </row>
    <row r="496" spans="1:8">
      <c r="A496" s="369"/>
      <c r="B496" s="368"/>
      <c r="C496" s="397"/>
      <c r="D496" s="407" t="s">
        <v>349</v>
      </c>
      <c r="E496" s="425"/>
      <c r="F496" s="426"/>
      <c r="G496" s="378"/>
      <c r="H496" s="379"/>
    </row>
    <row r="497" spans="1:8">
      <c r="A497" s="412">
        <v>232</v>
      </c>
      <c r="B497" s="427" t="s">
        <v>14</v>
      </c>
      <c r="C497" s="363" t="s">
        <v>15</v>
      </c>
      <c r="D497" s="364" t="s">
        <v>2476</v>
      </c>
      <c r="E497" s="409">
        <f>41200*1.07</f>
        <v>44084</v>
      </c>
      <c r="F497" s="366" t="s">
        <v>2472</v>
      </c>
      <c r="G497" s="367" t="s">
        <v>2477</v>
      </c>
      <c r="H497" s="361">
        <v>1</v>
      </c>
    </row>
    <row r="498" spans="1:8">
      <c r="A498" s="369"/>
      <c r="B498" s="368"/>
      <c r="C498" s="370"/>
      <c r="D498" s="371" t="s">
        <v>19</v>
      </c>
      <c r="E498" s="428"/>
      <c r="F498" s="388"/>
      <c r="G498" s="368"/>
      <c r="H498" s="388"/>
    </row>
    <row r="499" spans="1:8">
      <c r="A499" s="412">
        <v>233</v>
      </c>
      <c r="B499" s="380" t="s">
        <v>141</v>
      </c>
      <c r="C499" s="400" t="s">
        <v>340</v>
      </c>
      <c r="D499" s="376" t="s">
        <v>2478</v>
      </c>
      <c r="E499" s="402">
        <f>4150*1.07</f>
        <v>4440.5</v>
      </c>
      <c r="F499" s="366" t="s">
        <v>2472</v>
      </c>
      <c r="G499" s="401" t="s">
        <v>2479</v>
      </c>
      <c r="H499" s="361">
        <v>1</v>
      </c>
    </row>
    <row r="500" spans="1:8">
      <c r="A500" s="369"/>
      <c r="B500" s="368"/>
      <c r="C500" s="417"/>
      <c r="D500" s="371"/>
      <c r="E500" s="403"/>
      <c r="F500" s="368"/>
      <c r="G500" s="373"/>
      <c r="H500" s="368"/>
    </row>
    <row r="501" spans="1:8">
      <c r="A501" s="412">
        <v>234</v>
      </c>
      <c r="B501" s="325" t="s">
        <v>733</v>
      </c>
      <c r="C501" s="429" t="s">
        <v>734</v>
      </c>
      <c r="D501" s="364" t="s">
        <v>2480</v>
      </c>
      <c r="E501" s="430">
        <f>62000*1.07</f>
        <v>66340</v>
      </c>
      <c r="F501" s="366" t="s">
        <v>2481</v>
      </c>
      <c r="G501" s="401" t="s">
        <v>2482</v>
      </c>
      <c r="H501" s="361">
        <v>1</v>
      </c>
    </row>
    <row r="502" spans="1:8">
      <c r="A502" s="369"/>
      <c r="B502" s="431"/>
      <c r="C502" s="432"/>
      <c r="D502" s="433"/>
      <c r="E502" s="410"/>
      <c r="F502" s="391"/>
      <c r="G502" s="373"/>
      <c r="H502" s="368"/>
    </row>
    <row r="503" spans="1:8">
      <c r="A503" s="412">
        <v>235</v>
      </c>
      <c r="B503" s="361" t="s">
        <v>2010</v>
      </c>
      <c r="C503" s="429" t="s">
        <v>587</v>
      </c>
      <c r="D503" s="386" t="s">
        <v>2483</v>
      </c>
      <c r="E503" s="430">
        <f>19400*1.07</f>
        <v>20758</v>
      </c>
      <c r="F503" s="366" t="s">
        <v>2481</v>
      </c>
      <c r="G503" s="401" t="s">
        <v>2484</v>
      </c>
      <c r="H503" s="361">
        <v>1</v>
      </c>
    </row>
    <row r="504" spans="1:8">
      <c r="A504" s="369"/>
      <c r="B504" s="372"/>
      <c r="C504" s="432"/>
      <c r="D504" s="433"/>
      <c r="E504" s="403"/>
      <c r="F504" s="434"/>
      <c r="G504" s="369"/>
      <c r="H504" s="368"/>
    </row>
    <row r="505" spans="1:8">
      <c r="A505" s="412">
        <v>236</v>
      </c>
      <c r="B505" s="394" t="s">
        <v>2388</v>
      </c>
      <c r="C505" s="435" t="s">
        <v>2389</v>
      </c>
      <c r="D505" s="364" t="s">
        <v>2485</v>
      </c>
      <c r="E505" s="436">
        <f>93000*1.07</f>
        <v>99510</v>
      </c>
      <c r="F505" s="366" t="s">
        <v>2481</v>
      </c>
      <c r="G505" s="416" t="s">
        <v>2486</v>
      </c>
      <c r="H505" s="361">
        <v>1</v>
      </c>
    </row>
    <row r="506" spans="1:8">
      <c r="A506" s="369"/>
      <c r="B506" s="372"/>
      <c r="C506" s="432"/>
      <c r="D506" s="433" t="s">
        <v>2487</v>
      </c>
      <c r="E506" s="403"/>
      <c r="F506" s="368"/>
      <c r="G506" s="368"/>
      <c r="H506" s="368"/>
    </row>
    <row r="507" spans="1:8">
      <c r="A507" s="412">
        <v>237</v>
      </c>
      <c r="B507" s="380" t="s">
        <v>2488</v>
      </c>
      <c r="C507" s="429" t="s">
        <v>2489</v>
      </c>
      <c r="D507" s="386" t="s">
        <v>2490</v>
      </c>
      <c r="E507" s="430">
        <f>19700*1.07</f>
        <v>21079</v>
      </c>
      <c r="F507" s="392" t="s">
        <v>2481</v>
      </c>
      <c r="G507" s="401" t="s">
        <v>2491</v>
      </c>
      <c r="H507" s="379">
        <v>1</v>
      </c>
    </row>
    <row r="508" spans="1:8">
      <c r="A508" s="369"/>
      <c r="B508" s="368"/>
      <c r="C508" s="432"/>
      <c r="D508" s="433"/>
      <c r="E508" s="403"/>
      <c r="F508" s="368"/>
      <c r="G508" s="368"/>
      <c r="H508" s="368"/>
    </row>
    <row r="509" spans="1:8">
      <c r="A509" s="412">
        <v>238</v>
      </c>
      <c r="B509" s="413" t="s">
        <v>40</v>
      </c>
      <c r="C509" s="435" t="s">
        <v>594</v>
      </c>
      <c r="D509" s="364" t="s">
        <v>2492</v>
      </c>
      <c r="E509" s="436">
        <f>43700*1.07</f>
        <v>46759</v>
      </c>
      <c r="F509" s="366" t="s">
        <v>2481</v>
      </c>
      <c r="G509" s="416" t="s">
        <v>2493</v>
      </c>
      <c r="H509" s="361">
        <v>1</v>
      </c>
    </row>
    <row r="510" spans="1:8">
      <c r="A510" s="369"/>
      <c r="B510" s="372"/>
      <c r="C510" s="437"/>
      <c r="D510" s="433" t="s">
        <v>138</v>
      </c>
      <c r="E510" s="403"/>
      <c r="F510" s="368"/>
      <c r="G510" s="373"/>
      <c r="H510" s="368"/>
    </row>
    <row r="511" spans="1:8">
      <c r="A511" s="412">
        <v>239</v>
      </c>
      <c r="B511" s="404" t="s">
        <v>27</v>
      </c>
      <c r="C511" s="429" t="s">
        <v>28</v>
      </c>
      <c r="D511" s="386" t="s">
        <v>2494</v>
      </c>
      <c r="E511" s="430">
        <f>16500*1.07</f>
        <v>17655</v>
      </c>
      <c r="F511" s="392" t="s">
        <v>2481</v>
      </c>
      <c r="G511" s="401" t="s">
        <v>2495</v>
      </c>
      <c r="H511" s="379">
        <v>1</v>
      </c>
    </row>
    <row r="512" spans="1:8">
      <c r="A512" s="369"/>
      <c r="B512" s="386"/>
      <c r="C512" s="398"/>
      <c r="D512" s="386" t="s">
        <v>2496</v>
      </c>
      <c r="E512" s="408"/>
      <c r="F512" s="379"/>
      <c r="G512" s="438"/>
      <c r="H512" s="368"/>
    </row>
    <row r="513" spans="1:8">
      <c r="A513" s="352" t="s">
        <v>561</v>
      </c>
      <c r="B513" s="418" t="s">
        <v>0</v>
      </c>
      <c r="C513" s="355" t="s">
        <v>1</v>
      </c>
      <c r="D513" s="354" t="s">
        <v>2</v>
      </c>
      <c r="E513" s="419" t="s">
        <v>3</v>
      </c>
      <c r="F513" s="356" t="s">
        <v>4</v>
      </c>
      <c r="G513" s="354"/>
      <c r="H513" s="352" t="s">
        <v>5</v>
      </c>
    </row>
    <row r="514" spans="1:8" ht="49.5" customHeight="1">
      <c r="A514" s="357"/>
      <c r="B514" s="420"/>
      <c r="C514" s="355"/>
      <c r="D514" s="354"/>
      <c r="E514" s="421"/>
      <c r="F514" s="359" t="s">
        <v>6</v>
      </c>
      <c r="G514" s="360" t="s">
        <v>7</v>
      </c>
      <c r="H514" s="357"/>
    </row>
    <row r="515" spans="1:8">
      <c r="A515" s="412">
        <v>240</v>
      </c>
      <c r="B515" s="380" t="s">
        <v>58</v>
      </c>
      <c r="C515" s="435" t="s">
        <v>270</v>
      </c>
      <c r="D515" s="364" t="s">
        <v>2497</v>
      </c>
      <c r="E515" s="436">
        <f>49520*1.07</f>
        <v>52986.400000000001</v>
      </c>
      <c r="F515" s="366" t="s">
        <v>2481</v>
      </c>
      <c r="G515" s="367" t="s">
        <v>2498</v>
      </c>
      <c r="H515" s="361">
        <v>1</v>
      </c>
    </row>
    <row r="516" spans="1:8">
      <c r="A516" s="369"/>
      <c r="B516" s="372"/>
      <c r="C516" s="439"/>
      <c r="D516" s="433" t="s">
        <v>349</v>
      </c>
      <c r="E516" s="403"/>
      <c r="F516" s="368"/>
      <c r="G516" s="440"/>
      <c r="H516" s="368"/>
    </row>
    <row r="517" spans="1:8">
      <c r="A517" s="412">
        <v>241</v>
      </c>
      <c r="B517" s="404" t="s">
        <v>27</v>
      </c>
      <c r="C517" s="435" t="s">
        <v>80</v>
      </c>
      <c r="D517" s="364" t="s">
        <v>2499</v>
      </c>
      <c r="E517" s="436">
        <f>88500*1.07</f>
        <v>94695</v>
      </c>
      <c r="F517" s="366" t="s">
        <v>2500</v>
      </c>
      <c r="G517" s="416" t="s">
        <v>2501</v>
      </c>
      <c r="H517" s="361">
        <v>1</v>
      </c>
    </row>
    <row r="518" spans="1:8">
      <c r="A518" s="369"/>
      <c r="B518" s="372"/>
      <c r="C518" s="439"/>
      <c r="D518" s="372" t="s">
        <v>2502</v>
      </c>
      <c r="E518" s="403"/>
      <c r="F518" s="368"/>
      <c r="G518" s="441"/>
      <c r="H518" s="368"/>
    </row>
    <row r="519" spans="1:8">
      <c r="A519" s="379">
        <v>242</v>
      </c>
      <c r="B519" s="380" t="s">
        <v>698</v>
      </c>
      <c r="C519" s="435" t="s">
        <v>779</v>
      </c>
      <c r="D519" s="364" t="s">
        <v>2503</v>
      </c>
      <c r="E519" s="436">
        <f>19456*1.07</f>
        <v>20817.920000000002</v>
      </c>
      <c r="F519" s="366" t="s">
        <v>2500</v>
      </c>
      <c r="G519" s="416" t="s">
        <v>2504</v>
      </c>
      <c r="H519" s="361">
        <v>1</v>
      </c>
    </row>
    <row r="520" spans="1:8">
      <c r="A520" s="368"/>
      <c r="B520" s="431"/>
      <c r="C520" s="439"/>
      <c r="D520" s="433" t="s">
        <v>138</v>
      </c>
      <c r="E520" s="403"/>
      <c r="F520" s="368"/>
      <c r="G520" s="441"/>
      <c r="H520" s="368"/>
    </row>
    <row r="521" spans="1:8">
      <c r="A521" s="412">
        <v>243</v>
      </c>
      <c r="B521" s="380" t="s">
        <v>2688</v>
      </c>
      <c r="C521" s="415" t="s">
        <v>2689</v>
      </c>
      <c r="D521" s="459" t="s">
        <v>2690</v>
      </c>
      <c r="E521" s="365">
        <v>208650</v>
      </c>
      <c r="F521" s="366" t="s">
        <v>2500</v>
      </c>
      <c r="G521" s="416" t="s">
        <v>2691</v>
      </c>
      <c r="H521" s="361">
        <v>1</v>
      </c>
    </row>
    <row r="522" spans="1:8">
      <c r="A522" s="369"/>
      <c r="B522" s="368"/>
      <c r="C522" s="450"/>
      <c r="D522" s="471" t="s">
        <v>2692</v>
      </c>
      <c r="E522" s="372"/>
      <c r="F522" s="368"/>
      <c r="G522" s="441"/>
      <c r="H522" s="368"/>
    </row>
    <row r="523" spans="1:8">
      <c r="A523" s="379">
        <v>244</v>
      </c>
      <c r="B523" s="380" t="s">
        <v>2688</v>
      </c>
      <c r="C523" s="415" t="s">
        <v>2689</v>
      </c>
      <c r="D523" s="387" t="s">
        <v>2693</v>
      </c>
      <c r="E523" s="409">
        <v>963000</v>
      </c>
      <c r="F523" s="366" t="s">
        <v>2500</v>
      </c>
      <c r="G523" s="416" t="s">
        <v>2694</v>
      </c>
      <c r="H523" s="361">
        <v>1</v>
      </c>
    </row>
    <row r="524" spans="1:8">
      <c r="A524" s="368"/>
      <c r="B524" s="368"/>
      <c r="C524" s="475"/>
      <c r="D524" s="371"/>
      <c r="E524" s="432"/>
      <c r="F524" s="368"/>
      <c r="G524" s="441"/>
      <c r="H524" s="368"/>
    </row>
    <row r="525" spans="1:8">
      <c r="A525" s="412">
        <v>245</v>
      </c>
      <c r="B525" s="380" t="s">
        <v>1564</v>
      </c>
      <c r="C525" s="429" t="s">
        <v>1565</v>
      </c>
      <c r="D525" s="386" t="s">
        <v>2505</v>
      </c>
      <c r="E525" s="430">
        <f>33000*1.07</f>
        <v>35310</v>
      </c>
      <c r="F525" s="366" t="s">
        <v>2506</v>
      </c>
      <c r="G525" s="401" t="s">
        <v>2507</v>
      </c>
      <c r="H525" s="361">
        <v>1</v>
      </c>
    </row>
    <row r="526" spans="1:8">
      <c r="A526" s="369"/>
      <c r="B526" s="372"/>
      <c r="C526" s="439"/>
      <c r="D526" s="433"/>
      <c r="E526" s="403"/>
      <c r="F526" s="368"/>
      <c r="G526" s="440"/>
      <c r="H526" s="368"/>
    </row>
    <row r="527" spans="1:8">
      <c r="A527" s="379">
        <v>246</v>
      </c>
      <c r="B527" s="394" t="s">
        <v>1189</v>
      </c>
      <c r="C527" s="387" t="s">
        <v>1190</v>
      </c>
      <c r="D527" s="415" t="s">
        <v>2508</v>
      </c>
      <c r="E527" s="365">
        <f>48000*1.07</f>
        <v>51360</v>
      </c>
      <c r="F527" s="366" t="s">
        <v>2506</v>
      </c>
      <c r="G527" s="367" t="s">
        <v>2509</v>
      </c>
      <c r="H527" s="367">
        <v>1</v>
      </c>
    </row>
    <row r="528" spans="1:8">
      <c r="A528" s="368"/>
      <c r="B528" s="385"/>
      <c r="C528" s="376"/>
      <c r="D528" s="398" t="s">
        <v>2510</v>
      </c>
      <c r="E528" s="386"/>
      <c r="F528" s="379"/>
      <c r="G528" s="379"/>
      <c r="H528" s="373"/>
    </row>
    <row r="529" spans="1:8">
      <c r="A529" s="412">
        <v>247</v>
      </c>
      <c r="B529" s="380" t="s">
        <v>58</v>
      </c>
      <c r="C529" s="387" t="s">
        <v>270</v>
      </c>
      <c r="D529" s="415" t="s">
        <v>2511</v>
      </c>
      <c r="E529" s="365">
        <f>2000*1.07</f>
        <v>2140</v>
      </c>
      <c r="F529" s="366" t="s">
        <v>2506</v>
      </c>
      <c r="G529" s="367" t="s">
        <v>2512</v>
      </c>
      <c r="H529" s="367">
        <v>1</v>
      </c>
    </row>
    <row r="530" spans="1:8">
      <c r="A530" s="369"/>
      <c r="B530" s="368"/>
      <c r="C530" s="388"/>
      <c r="D530" s="442"/>
      <c r="E530" s="443"/>
      <c r="F530" s="368"/>
      <c r="G530" s="368"/>
      <c r="H530" s="373"/>
    </row>
    <row r="531" spans="1:8">
      <c r="A531" s="379">
        <v>248</v>
      </c>
      <c r="B531" s="444" t="s">
        <v>2513</v>
      </c>
      <c r="C531" s="376" t="s">
        <v>2514</v>
      </c>
      <c r="D531" s="398" t="s">
        <v>2515</v>
      </c>
      <c r="E531" s="377">
        <f>38000*1.07</f>
        <v>40660</v>
      </c>
      <c r="F531" s="392" t="s">
        <v>2506</v>
      </c>
      <c r="G531" s="378" t="s">
        <v>2516</v>
      </c>
      <c r="H531" s="367">
        <v>1</v>
      </c>
    </row>
    <row r="532" spans="1:8">
      <c r="A532" s="368"/>
      <c r="B532" s="369"/>
      <c r="C532" s="388"/>
      <c r="D532" s="417"/>
      <c r="E532" s="372"/>
      <c r="F532" s="368"/>
      <c r="G532" s="368"/>
      <c r="H532" s="373"/>
    </row>
    <row r="533" spans="1:8">
      <c r="A533" s="412">
        <v>249</v>
      </c>
      <c r="B533" s="393" t="s">
        <v>9</v>
      </c>
      <c r="C533" s="363" t="s">
        <v>50</v>
      </c>
      <c r="D533" s="387" t="s">
        <v>2517</v>
      </c>
      <c r="E533" s="409">
        <f>2740*1.07</f>
        <v>2931.8</v>
      </c>
      <c r="F533" s="366" t="s">
        <v>2518</v>
      </c>
      <c r="G533" s="367" t="s">
        <v>2519</v>
      </c>
      <c r="H533" s="367">
        <v>1</v>
      </c>
    </row>
    <row r="534" spans="1:8">
      <c r="A534" s="369"/>
      <c r="B534" s="369"/>
      <c r="C534" s="370"/>
      <c r="D534" s="433" t="s">
        <v>138</v>
      </c>
      <c r="E534" s="432"/>
      <c r="F534" s="368"/>
      <c r="G534" s="368"/>
      <c r="H534" s="373"/>
    </row>
    <row r="535" spans="1:8">
      <c r="A535" s="379">
        <v>250</v>
      </c>
      <c r="B535" s="380" t="s">
        <v>141</v>
      </c>
      <c r="C535" s="375" t="s">
        <v>142</v>
      </c>
      <c r="D535" s="376" t="s">
        <v>2520</v>
      </c>
      <c r="E535" s="445">
        <f>7695*1.07</f>
        <v>8233.65</v>
      </c>
      <c r="F535" s="392" t="s">
        <v>2518</v>
      </c>
      <c r="G535" s="378" t="s">
        <v>2521</v>
      </c>
      <c r="H535" s="378">
        <v>1</v>
      </c>
    </row>
    <row r="536" spans="1:8">
      <c r="A536" s="368"/>
      <c r="B536" s="385"/>
      <c r="C536" s="375"/>
      <c r="D536" s="389" t="s">
        <v>636</v>
      </c>
      <c r="E536" s="408"/>
      <c r="F536" s="379"/>
      <c r="G536" s="379"/>
      <c r="H536" s="378"/>
    </row>
    <row r="537" spans="1:8">
      <c r="A537" s="412">
        <v>251</v>
      </c>
      <c r="B537" s="380" t="s">
        <v>985</v>
      </c>
      <c r="C537" s="363" t="s">
        <v>2522</v>
      </c>
      <c r="D537" s="387" t="s">
        <v>2523</v>
      </c>
      <c r="E537" s="414">
        <f>76199*1.07</f>
        <v>81532.930000000008</v>
      </c>
      <c r="F537" s="366" t="s">
        <v>2524</v>
      </c>
      <c r="G537" s="367" t="s">
        <v>2525</v>
      </c>
      <c r="H537" s="367">
        <v>1</v>
      </c>
    </row>
    <row r="538" spans="1:8">
      <c r="A538" s="369"/>
      <c r="B538" s="446"/>
      <c r="C538" s="370"/>
      <c r="D538" s="433" t="s">
        <v>2526</v>
      </c>
      <c r="E538" s="439"/>
      <c r="F538" s="368"/>
      <c r="G538" s="368"/>
      <c r="H538" s="373"/>
    </row>
    <row r="539" spans="1:8">
      <c r="A539" s="379">
        <v>252</v>
      </c>
      <c r="B539" s="447" t="s">
        <v>508</v>
      </c>
      <c r="C539" s="375" t="s">
        <v>509</v>
      </c>
      <c r="D539" s="376" t="s">
        <v>2527</v>
      </c>
      <c r="E539" s="445">
        <f>69180*1.07</f>
        <v>74022.600000000006</v>
      </c>
      <c r="F539" s="392" t="s">
        <v>2524</v>
      </c>
      <c r="G539" s="378" t="s">
        <v>2528</v>
      </c>
      <c r="H539" s="367">
        <v>1</v>
      </c>
    </row>
    <row r="540" spans="1:8">
      <c r="A540" s="368"/>
      <c r="B540" s="369"/>
      <c r="C540" s="370"/>
      <c r="D540" s="433" t="s">
        <v>207</v>
      </c>
      <c r="E540" s="403"/>
      <c r="F540" s="368"/>
      <c r="G540" s="368"/>
      <c r="H540" s="373"/>
    </row>
    <row r="541" spans="1:8">
      <c r="A541" s="412">
        <v>253</v>
      </c>
      <c r="B541" s="406" t="s">
        <v>54</v>
      </c>
      <c r="C541" s="375" t="s">
        <v>243</v>
      </c>
      <c r="D541" s="376" t="s">
        <v>2529</v>
      </c>
      <c r="E541" s="445">
        <f>4494*1.07</f>
        <v>4808.58</v>
      </c>
      <c r="F541" s="392" t="s">
        <v>2524</v>
      </c>
      <c r="G541" s="378" t="s">
        <v>2530</v>
      </c>
      <c r="H541" s="367">
        <v>1</v>
      </c>
    </row>
    <row r="542" spans="1:8">
      <c r="A542" s="369"/>
      <c r="B542" s="369"/>
      <c r="C542" s="370"/>
      <c r="D542" s="433" t="s">
        <v>138</v>
      </c>
      <c r="E542" s="432"/>
      <c r="F542" s="368"/>
      <c r="G542" s="368"/>
      <c r="H542" s="373"/>
    </row>
    <row r="543" spans="1:8">
      <c r="A543" s="379">
        <v>254</v>
      </c>
      <c r="B543" s="380" t="s">
        <v>2695</v>
      </c>
      <c r="C543" s="465" t="s">
        <v>2696</v>
      </c>
      <c r="D543" s="470" t="s">
        <v>2697</v>
      </c>
      <c r="E543" s="474">
        <v>187678</v>
      </c>
      <c r="F543" s="366" t="s">
        <v>2524</v>
      </c>
      <c r="G543" s="469" t="s">
        <v>2698</v>
      </c>
      <c r="H543" s="361">
        <v>1</v>
      </c>
    </row>
    <row r="544" spans="1:8">
      <c r="A544" s="368"/>
      <c r="B544" s="368"/>
      <c r="C544" s="450"/>
      <c r="D544" s="471" t="s">
        <v>2699</v>
      </c>
      <c r="E544" s="372"/>
      <c r="F544" s="368"/>
      <c r="G544" s="441"/>
      <c r="H544" s="368"/>
    </row>
    <row r="545" spans="1:8">
      <c r="A545" s="412">
        <v>255</v>
      </c>
      <c r="B545" s="325" t="s">
        <v>124</v>
      </c>
      <c r="C545" s="375" t="s">
        <v>290</v>
      </c>
      <c r="D545" s="376" t="s">
        <v>1274</v>
      </c>
      <c r="E545" s="445">
        <f>92700*1.07</f>
        <v>99189</v>
      </c>
      <c r="F545" s="392" t="s">
        <v>2531</v>
      </c>
      <c r="G545" s="378" t="s">
        <v>2532</v>
      </c>
      <c r="H545" s="367">
        <v>1</v>
      </c>
    </row>
    <row r="546" spans="1:8">
      <c r="A546" s="369"/>
      <c r="B546" s="385"/>
      <c r="C546" s="375"/>
      <c r="D546" s="389"/>
      <c r="E546" s="408"/>
      <c r="F546" s="379"/>
      <c r="G546" s="379"/>
      <c r="H546" s="378"/>
    </row>
    <row r="547" spans="1:8">
      <c r="A547" s="352" t="s">
        <v>561</v>
      </c>
      <c r="B547" s="418" t="s">
        <v>0</v>
      </c>
      <c r="C547" s="355" t="s">
        <v>1</v>
      </c>
      <c r="D547" s="354" t="s">
        <v>2</v>
      </c>
      <c r="E547" s="419" t="s">
        <v>3</v>
      </c>
      <c r="F547" s="356" t="s">
        <v>4</v>
      </c>
      <c r="G547" s="354"/>
      <c r="H547" s="352" t="s">
        <v>5</v>
      </c>
    </row>
    <row r="548" spans="1:8" ht="53.25" customHeight="1">
      <c r="A548" s="357"/>
      <c r="B548" s="420"/>
      <c r="C548" s="355"/>
      <c r="D548" s="354"/>
      <c r="E548" s="421"/>
      <c r="F548" s="359" t="s">
        <v>6</v>
      </c>
      <c r="G548" s="360" t="s">
        <v>7</v>
      </c>
      <c r="H548" s="357"/>
    </row>
    <row r="549" spans="1:8">
      <c r="A549" s="379">
        <v>256</v>
      </c>
      <c r="B549" s="380" t="s">
        <v>2533</v>
      </c>
      <c r="C549" s="363" t="s">
        <v>2534</v>
      </c>
      <c r="D549" s="387" t="s">
        <v>2535</v>
      </c>
      <c r="E549" s="409">
        <f>92000*1.07</f>
        <v>98440</v>
      </c>
      <c r="F549" s="366" t="s">
        <v>2531</v>
      </c>
      <c r="G549" s="367" t="s">
        <v>2536</v>
      </c>
      <c r="H549" s="367">
        <v>1</v>
      </c>
    </row>
    <row r="550" spans="1:8">
      <c r="A550" s="368"/>
      <c r="B550" s="368"/>
      <c r="C550" s="370"/>
      <c r="D550" s="433" t="s">
        <v>138</v>
      </c>
      <c r="E550" s="403"/>
      <c r="F550" s="368"/>
      <c r="G550" s="368"/>
      <c r="H550" s="373"/>
    </row>
    <row r="551" spans="1:8">
      <c r="A551" s="412">
        <v>257</v>
      </c>
      <c r="B551" s="380" t="s">
        <v>971</v>
      </c>
      <c r="C551" s="375" t="s">
        <v>481</v>
      </c>
      <c r="D551" s="376" t="s">
        <v>2537</v>
      </c>
      <c r="E551" s="445">
        <f>14000*1.07</f>
        <v>14980</v>
      </c>
      <c r="F551" s="392" t="s">
        <v>2531</v>
      </c>
      <c r="G551" s="378" t="s">
        <v>2538</v>
      </c>
      <c r="H551" s="367">
        <v>1</v>
      </c>
    </row>
    <row r="552" spans="1:8">
      <c r="A552" s="369"/>
      <c r="B552" s="368"/>
      <c r="C552" s="370"/>
      <c r="D552" s="371"/>
      <c r="E552" s="403"/>
      <c r="F552" s="368"/>
      <c r="G552" s="368"/>
      <c r="H552" s="373"/>
    </row>
    <row r="553" spans="1:8">
      <c r="A553" s="379">
        <v>258</v>
      </c>
      <c r="B553" s="395" t="s">
        <v>183</v>
      </c>
      <c r="C553" s="375" t="s">
        <v>184</v>
      </c>
      <c r="D553" s="376" t="s">
        <v>2539</v>
      </c>
      <c r="E553" s="445">
        <f>22960.8*1.07</f>
        <v>24568.056</v>
      </c>
      <c r="F553" s="392" t="s">
        <v>2531</v>
      </c>
      <c r="G553" s="378" t="s">
        <v>2540</v>
      </c>
      <c r="H553" s="367">
        <v>1</v>
      </c>
    </row>
    <row r="554" spans="1:8">
      <c r="A554" s="368"/>
      <c r="B554" s="369"/>
      <c r="C554" s="448"/>
      <c r="D554" s="433" t="s">
        <v>138</v>
      </c>
      <c r="E554" s="403"/>
      <c r="F554" s="368"/>
      <c r="G554" s="368"/>
      <c r="H554" s="373"/>
    </row>
    <row r="555" spans="1:8">
      <c r="A555" s="412">
        <v>259</v>
      </c>
      <c r="B555" s="404" t="s">
        <v>27</v>
      </c>
      <c r="C555" s="415" t="s">
        <v>28</v>
      </c>
      <c r="D555" s="387" t="s">
        <v>2541</v>
      </c>
      <c r="E555" s="365">
        <f>68400*1.07</f>
        <v>73188</v>
      </c>
      <c r="F555" s="366" t="s">
        <v>2542</v>
      </c>
      <c r="G555" s="361" t="s">
        <v>2543</v>
      </c>
      <c r="H555" s="367">
        <v>1</v>
      </c>
    </row>
    <row r="556" spans="1:8">
      <c r="A556" s="369"/>
      <c r="B556" s="449"/>
      <c r="C556" s="417"/>
      <c r="D556" s="433" t="s">
        <v>19</v>
      </c>
      <c r="E556" s="372"/>
      <c r="F556" s="368"/>
      <c r="G556" s="368"/>
      <c r="H556" s="373"/>
    </row>
    <row r="557" spans="1:8">
      <c r="A557" s="379">
        <v>260</v>
      </c>
      <c r="B557" s="406" t="s">
        <v>9</v>
      </c>
      <c r="C557" s="397" t="s">
        <v>159</v>
      </c>
      <c r="D557" s="386" t="s">
        <v>2544</v>
      </c>
      <c r="E557" s="377">
        <f>19200*1.07</f>
        <v>20544</v>
      </c>
      <c r="F557" s="392" t="s">
        <v>2542</v>
      </c>
      <c r="G557" s="379" t="s">
        <v>2545</v>
      </c>
      <c r="H557" s="367">
        <v>1</v>
      </c>
    </row>
    <row r="558" spans="1:8">
      <c r="A558" s="368"/>
      <c r="B558" s="368"/>
      <c r="C558" s="450"/>
      <c r="D558" s="433" t="s">
        <v>138</v>
      </c>
      <c r="E558" s="372"/>
      <c r="F558" s="368"/>
      <c r="G558" s="368"/>
      <c r="H558" s="373"/>
    </row>
    <row r="559" spans="1:8">
      <c r="A559" s="361">
        <v>261</v>
      </c>
      <c r="B559" s="406" t="s">
        <v>9</v>
      </c>
      <c r="C559" s="397" t="s">
        <v>159</v>
      </c>
      <c r="D559" s="376" t="s">
        <v>2546</v>
      </c>
      <c r="E559" s="377">
        <f>31503*1.07</f>
        <v>33708.21</v>
      </c>
      <c r="F559" s="392" t="s">
        <v>2542</v>
      </c>
      <c r="G559" s="378" t="s">
        <v>2547</v>
      </c>
      <c r="H559" s="367">
        <v>1</v>
      </c>
    </row>
    <row r="560" spans="1:8">
      <c r="A560" s="368"/>
      <c r="B560" s="379"/>
      <c r="C560" s="451"/>
      <c r="D560" s="389" t="s">
        <v>636</v>
      </c>
      <c r="E560" s="386"/>
      <c r="F560" s="379"/>
      <c r="G560" s="379"/>
      <c r="H560" s="373"/>
    </row>
    <row r="561" spans="1:8">
      <c r="A561" s="361">
        <v>262</v>
      </c>
      <c r="B561" s="325" t="s">
        <v>124</v>
      </c>
      <c r="C561" s="415" t="s">
        <v>290</v>
      </c>
      <c r="D561" s="387" t="s">
        <v>2548</v>
      </c>
      <c r="E561" s="365">
        <f>83000*1.07</f>
        <v>88810</v>
      </c>
      <c r="F561" s="366" t="s">
        <v>2549</v>
      </c>
      <c r="G561" s="367" t="s">
        <v>2550</v>
      </c>
      <c r="H561" s="367">
        <v>1</v>
      </c>
    </row>
    <row r="562" spans="1:8">
      <c r="A562" s="369"/>
      <c r="B562" s="368"/>
      <c r="C562" s="450"/>
      <c r="D562" s="388"/>
      <c r="E562" s="443"/>
      <c r="F562" s="368"/>
      <c r="G562" s="368"/>
      <c r="H562" s="373"/>
    </row>
    <row r="563" spans="1:8">
      <c r="A563" s="361">
        <v>263</v>
      </c>
      <c r="B563" s="380" t="s">
        <v>435</v>
      </c>
      <c r="C563" s="400" t="s">
        <v>436</v>
      </c>
      <c r="D563" s="387" t="s">
        <v>2551</v>
      </c>
      <c r="E563" s="402">
        <f>24600*1.07</f>
        <v>26322</v>
      </c>
      <c r="F563" s="392" t="s">
        <v>2549</v>
      </c>
      <c r="G563" s="401" t="s">
        <v>2552</v>
      </c>
      <c r="H563" s="361">
        <v>1</v>
      </c>
    </row>
    <row r="564" spans="1:8" ht="27.75" customHeight="1">
      <c r="A564" s="368"/>
      <c r="B564" s="368"/>
      <c r="C564" s="448"/>
      <c r="D564" s="452" t="s">
        <v>2553</v>
      </c>
      <c r="E564" s="432"/>
      <c r="F564" s="368"/>
      <c r="G564" s="405"/>
      <c r="H564" s="368"/>
    </row>
    <row r="565" spans="1:8">
      <c r="A565" s="361">
        <v>264</v>
      </c>
      <c r="B565" s="362" t="s">
        <v>9</v>
      </c>
      <c r="C565" s="387" t="s">
        <v>50</v>
      </c>
      <c r="D565" s="387" t="s">
        <v>2554</v>
      </c>
      <c r="E565" s="402">
        <f>6560*1.07</f>
        <v>7019.2000000000007</v>
      </c>
      <c r="F565" s="392" t="s">
        <v>2549</v>
      </c>
      <c r="G565" s="401" t="s">
        <v>2555</v>
      </c>
      <c r="H565" s="361">
        <v>1</v>
      </c>
    </row>
    <row r="566" spans="1:8">
      <c r="A566" s="369"/>
      <c r="B566" s="369"/>
      <c r="C566" s="388"/>
      <c r="D566" s="433" t="s">
        <v>226</v>
      </c>
      <c r="E566" s="403"/>
      <c r="F566" s="368"/>
      <c r="G566" s="441"/>
      <c r="H566" s="368"/>
    </row>
    <row r="567" spans="1:8">
      <c r="A567" s="361">
        <v>265</v>
      </c>
      <c r="B567" s="380" t="s">
        <v>1278</v>
      </c>
      <c r="C567" s="400" t="s">
        <v>820</v>
      </c>
      <c r="D567" s="376" t="s">
        <v>2556</v>
      </c>
      <c r="E567" s="402">
        <f>73860*1.07</f>
        <v>79030.200000000012</v>
      </c>
      <c r="F567" s="392" t="s">
        <v>2549</v>
      </c>
      <c r="G567" s="401" t="s">
        <v>2557</v>
      </c>
      <c r="H567" s="361">
        <v>1</v>
      </c>
    </row>
    <row r="568" spans="1:8">
      <c r="A568" s="368"/>
      <c r="B568" s="368"/>
      <c r="C568" s="450"/>
      <c r="D568" s="388"/>
      <c r="E568" s="403"/>
      <c r="F568" s="368"/>
      <c r="G568" s="440"/>
      <c r="H568" s="368"/>
    </row>
    <row r="569" spans="1:8">
      <c r="A569" s="361">
        <v>266</v>
      </c>
      <c r="B569" s="380" t="s">
        <v>1213</v>
      </c>
      <c r="C569" s="400" t="s">
        <v>534</v>
      </c>
      <c r="D569" s="376" t="s">
        <v>2558</v>
      </c>
      <c r="E569" s="402">
        <f>1945*1.07</f>
        <v>2081.15</v>
      </c>
      <c r="F569" s="392" t="s">
        <v>2549</v>
      </c>
      <c r="G569" s="401" t="s">
        <v>2559</v>
      </c>
      <c r="H569" s="361">
        <v>1</v>
      </c>
    </row>
    <row r="570" spans="1:8">
      <c r="A570" s="369"/>
      <c r="B570" s="453"/>
      <c r="C570" s="450"/>
      <c r="D570" s="376" t="s">
        <v>2560</v>
      </c>
      <c r="E570" s="403"/>
      <c r="F570" s="368"/>
      <c r="G570" s="373"/>
      <c r="H570" s="368"/>
    </row>
    <row r="571" spans="1:8">
      <c r="A571" s="361">
        <v>267</v>
      </c>
      <c r="B571" s="380" t="s">
        <v>2335</v>
      </c>
      <c r="C571" s="400" t="s">
        <v>2336</v>
      </c>
      <c r="D571" s="364" t="s">
        <v>2561</v>
      </c>
      <c r="E571" s="402">
        <f>29400*1.07</f>
        <v>31458.000000000004</v>
      </c>
      <c r="F571" s="392" t="s">
        <v>2549</v>
      </c>
      <c r="G571" s="401" t="s">
        <v>2562</v>
      </c>
      <c r="H571" s="361">
        <v>1</v>
      </c>
    </row>
    <row r="572" spans="1:8">
      <c r="A572" s="368"/>
      <c r="B572" s="368"/>
      <c r="C572" s="450"/>
      <c r="D572" s="371" t="s">
        <v>2563</v>
      </c>
      <c r="E572" s="403"/>
      <c r="F572" s="368"/>
      <c r="G572" s="373"/>
      <c r="H572" s="368"/>
    </row>
    <row r="573" spans="1:8">
      <c r="A573" s="412">
        <v>268</v>
      </c>
      <c r="B573" s="380" t="s">
        <v>1189</v>
      </c>
      <c r="C573" s="400" t="s">
        <v>1190</v>
      </c>
      <c r="D573" s="376" t="s">
        <v>2564</v>
      </c>
      <c r="E573" s="402">
        <f>49000*1.07</f>
        <v>52430</v>
      </c>
      <c r="F573" s="392" t="s">
        <v>2549</v>
      </c>
      <c r="G573" s="401" t="s">
        <v>2565</v>
      </c>
      <c r="H573" s="361">
        <v>1</v>
      </c>
    </row>
    <row r="574" spans="1:8">
      <c r="A574" s="369"/>
      <c r="B574" s="368"/>
      <c r="C574" s="448"/>
      <c r="D574" s="376" t="s">
        <v>2566</v>
      </c>
      <c r="E574" s="403"/>
      <c r="F574" s="368"/>
      <c r="G574" s="373"/>
      <c r="H574" s="368"/>
    </row>
    <row r="575" spans="1:8">
      <c r="A575" s="361">
        <v>269</v>
      </c>
      <c r="B575" s="380" t="s">
        <v>200</v>
      </c>
      <c r="C575" s="400" t="s">
        <v>201</v>
      </c>
      <c r="D575" s="387" t="s">
        <v>2567</v>
      </c>
      <c r="E575" s="402">
        <f>6700*1.07</f>
        <v>7169</v>
      </c>
      <c r="F575" s="392" t="s">
        <v>2549</v>
      </c>
      <c r="G575" s="401" t="s">
        <v>2568</v>
      </c>
      <c r="H575" s="361">
        <v>1</v>
      </c>
    </row>
    <row r="576" spans="1:8">
      <c r="A576" s="368"/>
      <c r="B576" s="368"/>
      <c r="C576" s="450"/>
      <c r="D576" s="371"/>
      <c r="E576" s="403"/>
      <c r="F576" s="368"/>
      <c r="G576" s="373"/>
      <c r="H576" s="368"/>
    </row>
    <row r="577" spans="1:8">
      <c r="A577" s="361">
        <v>270</v>
      </c>
      <c r="B577" s="380" t="s">
        <v>141</v>
      </c>
      <c r="C577" s="400" t="s">
        <v>142</v>
      </c>
      <c r="D577" s="376" t="s">
        <v>2569</v>
      </c>
      <c r="E577" s="402">
        <f>5154*1.07</f>
        <v>5514.7800000000007</v>
      </c>
      <c r="F577" s="392" t="s">
        <v>2549</v>
      </c>
      <c r="G577" s="401" t="s">
        <v>2570</v>
      </c>
      <c r="H577" s="361">
        <v>1</v>
      </c>
    </row>
    <row r="578" spans="1:8">
      <c r="A578" s="369"/>
      <c r="B578" s="379"/>
      <c r="C578" s="451"/>
      <c r="D578" s="389" t="s">
        <v>138</v>
      </c>
      <c r="E578" s="408"/>
      <c r="F578" s="392"/>
      <c r="G578" s="378"/>
      <c r="H578" s="368"/>
    </row>
    <row r="579" spans="1:8">
      <c r="A579" s="361">
        <v>271</v>
      </c>
      <c r="B579" s="380" t="s">
        <v>183</v>
      </c>
      <c r="C579" s="415" t="s">
        <v>184</v>
      </c>
      <c r="D579" s="387" t="s">
        <v>2571</v>
      </c>
      <c r="E579" s="409">
        <f>18360*1.07</f>
        <v>19645.2</v>
      </c>
      <c r="F579" s="366" t="s">
        <v>2549</v>
      </c>
      <c r="G579" s="367" t="s">
        <v>2572</v>
      </c>
      <c r="H579" s="361">
        <v>1</v>
      </c>
    </row>
    <row r="580" spans="1:8">
      <c r="A580" s="368"/>
      <c r="B580" s="368"/>
      <c r="C580" s="450"/>
      <c r="D580" s="388" t="s">
        <v>2573</v>
      </c>
      <c r="E580" s="403"/>
      <c r="F580" s="368"/>
      <c r="G580" s="373"/>
      <c r="H580" s="368"/>
    </row>
    <row r="581" spans="1:8">
      <c r="A581" s="352" t="s">
        <v>561</v>
      </c>
      <c r="B581" s="353" t="s">
        <v>0</v>
      </c>
      <c r="C581" s="354" t="s">
        <v>1</v>
      </c>
      <c r="D581" s="355" t="s">
        <v>2</v>
      </c>
      <c r="E581" s="352" t="s">
        <v>3</v>
      </c>
      <c r="F581" s="356" t="s">
        <v>4</v>
      </c>
      <c r="G581" s="354"/>
      <c r="H581" s="352" t="s">
        <v>5</v>
      </c>
    </row>
    <row r="582" spans="1:8" ht="53.25" customHeight="1">
      <c r="A582" s="357"/>
      <c r="B582" s="358"/>
      <c r="C582" s="354"/>
      <c r="D582" s="355"/>
      <c r="E582" s="357"/>
      <c r="F582" s="359" t="s">
        <v>6</v>
      </c>
      <c r="G582" s="360" t="s">
        <v>7</v>
      </c>
      <c r="H582" s="357"/>
    </row>
    <row r="583" spans="1:8">
      <c r="A583" s="361">
        <v>272</v>
      </c>
      <c r="B583" s="380" t="s">
        <v>2700</v>
      </c>
      <c r="C583" s="400" t="s">
        <v>2704</v>
      </c>
      <c r="D583" s="376" t="s">
        <v>2701</v>
      </c>
      <c r="E583" s="402">
        <v>209185</v>
      </c>
      <c r="F583" s="366" t="s">
        <v>2549</v>
      </c>
      <c r="G583" s="416" t="s">
        <v>2702</v>
      </c>
      <c r="H583" s="361">
        <v>1</v>
      </c>
    </row>
    <row r="584" spans="1:8">
      <c r="A584" s="369"/>
      <c r="B584" s="368"/>
      <c r="C584" s="450"/>
      <c r="D584" s="371" t="s">
        <v>2703</v>
      </c>
      <c r="E584" s="432"/>
      <c r="F584" s="368"/>
      <c r="G584" s="441"/>
      <c r="H584" s="368"/>
    </row>
    <row r="585" spans="1:8">
      <c r="A585" s="361">
        <v>273</v>
      </c>
      <c r="B585" s="401" t="s">
        <v>1542</v>
      </c>
      <c r="C585" s="387" t="s">
        <v>85</v>
      </c>
      <c r="D585" s="387" t="s">
        <v>2574</v>
      </c>
      <c r="E585" s="402">
        <f>89100*1.07</f>
        <v>95337</v>
      </c>
      <c r="F585" s="366" t="s">
        <v>2575</v>
      </c>
      <c r="G585" s="401" t="s">
        <v>2576</v>
      </c>
      <c r="H585" s="361">
        <v>1</v>
      </c>
    </row>
    <row r="586" spans="1:8">
      <c r="A586" s="368"/>
      <c r="B586" s="369"/>
      <c r="C586" s="454"/>
      <c r="D586" s="388" t="s">
        <v>2577</v>
      </c>
      <c r="E586" s="403"/>
      <c r="F586" s="368"/>
      <c r="G586" s="373"/>
      <c r="H586" s="368"/>
    </row>
    <row r="587" spans="1:8">
      <c r="A587" s="361">
        <v>274</v>
      </c>
      <c r="B587" s="380" t="s">
        <v>200</v>
      </c>
      <c r="C587" s="400" t="s">
        <v>201</v>
      </c>
      <c r="D587" s="387" t="s">
        <v>2578</v>
      </c>
      <c r="E587" s="402">
        <f>47500*1.07</f>
        <v>50825</v>
      </c>
      <c r="F587" s="366" t="s">
        <v>2575</v>
      </c>
      <c r="G587" s="401" t="s">
        <v>2579</v>
      </c>
      <c r="H587" s="361">
        <v>1</v>
      </c>
    </row>
    <row r="588" spans="1:8">
      <c r="A588" s="369"/>
      <c r="B588" s="369"/>
      <c r="C588" s="448"/>
      <c r="D588" s="371"/>
      <c r="E588" s="403"/>
      <c r="F588" s="368"/>
      <c r="G588" s="440"/>
      <c r="H588" s="368"/>
    </row>
    <row r="589" spans="1:8">
      <c r="A589" s="361">
        <v>275</v>
      </c>
      <c r="B589" s="380" t="s">
        <v>1943</v>
      </c>
      <c r="C589" s="400" t="s">
        <v>2580</v>
      </c>
      <c r="D589" s="376" t="s">
        <v>2581</v>
      </c>
      <c r="E589" s="402">
        <f>32500*1.07</f>
        <v>34775</v>
      </c>
      <c r="F589" s="366" t="s">
        <v>2575</v>
      </c>
      <c r="G589" s="401" t="s">
        <v>2582</v>
      </c>
      <c r="H589" s="361">
        <v>1</v>
      </c>
    </row>
    <row r="590" spans="1:8">
      <c r="A590" s="368"/>
      <c r="B590" s="368"/>
      <c r="C590" s="451"/>
      <c r="D590" s="389" t="s">
        <v>138</v>
      </c>
      <c r="E590" s="402"/>
      <c r="F590" s="379"/>
      <c r="G590" s="455"/>
      <c r="H590" s="368"/>
    </row>
    <row r="591" spans="1:8">
      <c r="A591" s="361">
        <v>276</v>
      </c>
      <c r="B591" s="380" t="s">
        <v>1032</v>
      </c>
      <c r="C591" s="415" t="s">
        <v>505</v>
      </c>
      <c r="D591" s="387" t="s">
        <v>2583</v>
      </c>
      <c r="E591" s="409">
        <f>39880*1.07</f>
        <v>42671.600000000006</v>
      </c>
      <c r="F591" s="366" t="s">
        <v>2575</v>
      </c>
      <c r="G591" s="367" t="s">
        <v>2584</v>
      </c>
      <c r="H591" s="361">
        <v>1</v>
      </c>
    </row>
    <row r="592" spans="1:8">
      <c r="A592" s="369"/>
      <c r="B592" s="368"/>
      <c r="C592" s="450"/>
      <c r="D592" s="433" t="s">
        <v>138</v>
      </c>
      <c r="E592" s="403"/>
      <c r="F592" s="368"/>
      <c r="G592" s="440"/>
      <c r="H592" s="368"/>
    </row>
    <row r="593" spans="1:8">
      <c r="A593" s="361">
        <v>277</v>
      </c>
      <c r="B593" s="406" t="s">
        <v>9</v>
      </c>
      <c r="C593" s="400" t="s">
        <v>50</v>
      </c>
      <c r="D593" s="376" t="s">
        <v>2585</v>
      </c>
      <c r="E593" s="402">
        <f>7500*1.07</f>
        <v>8025.0000000000009</v>
      </c>
      <c r="F593" s="392" t="s">
        <v>2575</v>
      </c>
      <c r="G593" s="401" t="s">
        <v>2586</v>
      </c>
      <c r="H593" s="361">
        <v>1</v>
      </c>
    </row>
    <row r="594" spans="1:8">
      <c r="A594" s="368"/>
      <c r="B594" s="368"/>
      <c r="C594" s="450"/>
      <c r="D594" s="371"/>
      <c r="E594" s="432"/>
      <c r="F594" s="368"/>
      <c r="G594" s="456"/>
      <c r="H594" s="368"/>
    </row>
    <row r="595" spans="1:8">
      <c r="A595" s="385">
        <v>278</v>
      </c>
      <c r="B595" s="406" t="s">
        <v>54</v>
      </c>
      <c r="C595" s="400" t="s">
        <v>243</v>
      </c>
      <c r="D595" s="387" t="s">
        <v>2587</v>
      </c>
      <c r="E595" s="365">
        <f>6200*1.07</f>
        <v>6634</v>
      </c>
      <c r="F595" s="366" t="s">
        <v>2575</v>
      </c>
      <c r="G595" s="401" t="s">
        <v>2588</v>
      </c>
      <c r="H595" s="361">
        <v>1</v>
      </c>
    </row>
    <row r="596" spans="1:8">
      <c r="A596" s="385"/>
      <c r="B596" s="379"/>
      <c r="C596" s="451"/>
      <c r="D596" s="407"/>
      <c r="E596" s="386"/>
      <c r="F596" s="379"/>
      <c r="G596" s="455"/>
      <c r="H596" s="368"/>
    </row>
    <row r="597" spans="1:8">
      <c r="A597" s="412">
        <v>279</v>
      </c>
      <c r="B597" s="406" t="s">
        <v>9</v>
      </c>
      <c r="C597" s="363" t="s">
        <v>50</v>
      </c>
      <c r="D597" s="387" t="s">
        <v>2589</v>
      </c>
      <c r="E597" s="365">
        <f>2160*1.07</f>
        <v>2311.2000000000003</v>
      </c>
      <c r="F597" s="366" t="s">
        <v>2575</v>
      </c>
      <c r="G597" s="367" t="s">
        <v>2590</v>
      </c>
      <c r="H597" s="361">
        <v>1</v>
      </c>
    </row>
    <row r="598" spans="1:8">
      <c r="A598" s="369"/>
      <c r="B598" s="368"/>
      <c r="C598" s="370"/>
      <c r="D598" s="433" t="s">
        <v>226</v>
      </c>
      <c r="E598" s="443"/>
      <c r="F598" s="434"/>
      <c r="G598" s="368"/>
      <c r="H598" s="368"/>
    </row>
    <row r="599" spans="1:8">
      <c r="A599" s="385">
        <v>280</v>
      </c>
      <c r="B599" s="406" t="s">
        <v>9</v>
      </c>
      <c r="C599" s="400" t="s">
        <v>159</v>
      </c>
      <c r="D599" s="376" t="s">
        <v>2591</v>
      </c>
      <c r="E599" s="377">
        <f>5800*1.07</f>
        <v>6206</v>
      </c>
      <c r="F599" s="392" t="s">
        <v>2575</v>
      </c>
      <c r="G599" s="401" t="s">
        <v>2592</v>
      </c>
      <c r="H599" s="361">
        <v>1</v>
      </c>
    </row>
    <row r="600" spans="1:8">
      <c r="A600" s="385"/>
      <c r="B600" s="368"/>
      <c r="C600" s="450"/>
      <c r="D600" s="371"/>
      <c r="E600" s="372"/>
      <c r="F600" s="368"/>
      <c r="G600" s="440"/>
      <c r="H600" s="368"/>
    </row>
    <row r="601" spans="1:8">
      <c r="A601" s="412">
        <v>281</v>
      </c>
      <c r="B601" s="380" t="s">
        <v>58</v>
      </c>
      <c r="C601" s="400" t="s">
        <v>270</v>
      </c>
      <c r="D601" s="376" t="s">
        <v>2593</v>
      </c>
      <c r="E601" s="377">
        <f>3200*1.07</f>
        <v>3424</v>
      </c>
      <c r="F601" s="366" t="s">
        <v>2575</v>
      </c>
      <c r="G601" s="401" t="s">
        <v>2594</v>
      </c>
      <c r="H601" s="361">
        <v>1</v>
      </c>
    </row>
    <row r="602" spans="1:8">
      <c r="A602" s="369"/>
      <c r="B602" s="368"/>
      <c r="C602" s="451"/>
      <c r="D602" s="407"/>
      <c r="E602" s="372"/>
      <c r="F602" s="379"/>
      <c r="G602" s="455"/>
      <c r="H602" s="379"/>
    </row>
    <row r="603" spans="1:8">
      <c r="A603" s="385">
        <v>282</v>
      </c>
      <c r="B603" s="404" t="s">
        <v>27</v>
      </c>
      <c r="C603" s="363" t="s">
        <v>80</v>
      </c>
      <c r="D603" s="387" t="s">
        <v>2595</v>
      </c>
      <c r="E603" s="402">
        <f>58200*1.07</f>
        <v>62274</v>
      </c>
      <c r="F603" s="366" t="s">
        <v>2596</v>
      </c>
      <c r="G603" s="361" t="s">
        <v>2597</v>
      </c>
      <c r="H603" s="361">
        <v>1</v>
      </c>
    </row>
    <row r="604" spans="1:8">
      <c r="A604" s="385"/>
      <c r="B604" s="368"/>
      <c r="C604" s="448"/>
      <c r="D604" s="371" t="s">
        <v>2598</v>
      </c>
      <c r="E604" s="432"/>
      <c r="F604" s="368"/>
      <c r="G604" s="456"/>
      <c r="H604" s="368"/>
    </row>
    <row r="605" spans="1:8">
      <c r="A605" s="412">
        <v>283</v>
      </c>
      <c r="B605" s="380" t="s">
        <v>141</v>
      </c>
      <c r="C605" s="375" t="s">
        <v>142</v>
      </c>
      <c r="D605" s="376" t="s">
        <v>2599</v>
      </c>
      <c r="E605" s="402">
        <f>20560*1.07</f>
        <v>21999.200000000001</v>
      </c>
      <c r="F605" s="366" t="s">
        <v>2596</v>
      </c>
      <c r="G605" s="401" t="s">
        <v>2600</v>
      </c>
      <c r="H605" s="361">
        <v>1</v>
      </c>
    </row>
    <row r="606" spans="1:8">
      <c r="A606" s="369"/>
      <c r="B606" s="379"/>
      <c r="C606" s="457"/>
      <c r="D606" s="389" t="s">
        <v>19</v>
      </c>
      <c r="E606" s="398"/>
      <c r="F606" s="379"/>
      <c r="G606" s="455"/>
      <c r="H606" s="368"/>
    </row>
    <row r="607" spans="1:8">
      <c r="A607" s="385">
        <v>284</v>
      </c>
      <c r="B607" s="447" t="s">
        <v>100</v>
      </c>
      <c r="C607" s="363" t="s">
        <v>101</v>
      </c>
      <c r="D607" s="387" t="s">
        <v>2601</v>
      </c>
      <c r="E607" s="409">
        <f>92800*1.07</f>
        <v>99296</v>
      </c>
      <c r="F607" s="366" t="s">
        <v>2596</v>
      </c>
      <c r="G607" s="416" t="s">
        <v>2602</v>
      </c>
      <c r="H607" s="361">
        <v>1</v>
      </c>
    </row>
    <row r="608" spans="1:8">
      <c r="A608" s="385"/>
      <c r="B608" s="368"/>
      <c r="C608" s="448"/>
      <c r="D608" s="371"/>
      <c r="E608" s="403"/>
      <c r="F608" s="368"/>
      <c r="G608" s="441"/>
      <c r="H608" s="368"/>
    </row>
    <row r="609" spans="1:8">
      <c r="A609" s="412">
        <v>285</v>
      </c>
      <c r="B609" s="394" t="s">
        <v>698</v>
      </c>
      <c r="C609" s="375" t="s">
        <v>779</v>
      </c>
      <c r="D609" s="376" t="s">
        <v>2603</v>
      </c>
      <c r="E609" s="402">
        <f>93000*1.07</f>
        <v>99510</v>
      </c>
      <c r="F609" s="392" t="s">
        <v>2596</v>
      </c>
      <c r="G609" s="401" t="s">
        <v>2604</v>
      </c>
      <c r="H609" s="361">
        <v>1</v>
      </c>
    </row>
    <row r="610" spans="1:8">
      <c r="A610" s="369"/>
      <c r="B610" s="368"/>
      <c r="C610" s="448"/>
      <c r="D610" s="433" t="s">
        <v>138</v>
      </c>
      <c r="E610" s="403"/>
      <c r="F610" s="368"/>
      <c r="G610" s="441"/>
      <c r="H610" s="379"/>
    </row>
    <row r="611" spans="1:8">
      <c r="A611" s="385">
        <v>286</v>
      </c>
      <c r="B611" s="447" t="s">
        <v>508</v>
      </c>
      <c r="C611" s="363" t="s">
        <v>509</v>
      </c>
      <c r="D611" s="376" t="s">
        <v>2605</v>
      </c>
      <c r="E611" s="402">
        <f>87750*1.07</f>
        <v>93892.5</v>
      </c>
      <c r="F611" s="366" t="s">
        <v>2596</v>
      </c>
      <c r="G611" s="401" t="s">
        <v>2606</v>
      </c>
      <c r="H611" s="361">
        <v>1</v>
      </c>
    </row>
    <row r="612" spans="1:8">
      <c r="A612" s="385"/>
      <c r="B612" s="369"/>
      <c r="C612" s="448"/>
      <c r="D612" s="371"/>
      <c r="E612" s="432"/>
      <c r="F612" s="368"/>
      <c r="G612" s="441"/>
      <c r="H612" s="368"/>
    </row>
    <row r="613" spans="1:8">
      <c r="A613" s="412">
        <v>287</v>
      </c>
      <c r="B613" s="406" t="s">
        <v>54</v>
      </c>
      <c r="C613" s="375" t="s">
        <v>243</v>
      </c>
      <c r="D613" s="376" t="s">
        <v>2607</v>
      </c>
      <c r="E613" s="402">
        <f>4000*1.07</f>
        <v>4280</v>
      </c>
      <c r="F613" s="366" t="s">
        <v>2596</v>
      </c>
      <c r="G613" s="401" t="s">
        <v>2608</v>
      </c>
      <c r="H613" s="361">
        <v>1</v>
      </c>
    </row>
    <row r="614" spans="1:8">
      <c r="A614" s="369"/>
      <c r="B614" s="369"/>
      <c r="C614" s="448"/>
      <c r="D614" s="433" t="s">
        <v>138</v>
      </c>
      <c r="E614" s="432"/>
      <c r="F614" s="368"/>
      <c r="G614" s="441"/>
      <c r="H614" s="368"/>
    </row>
    <row r="615" spans="1:8">
      <c r="A615" s="352" t="s">
        <v>561</v>
      </c>
      <c r="B615" s="418" t="s">
        <v>0</v>
      </c>
      <c r="C615" s="352" t="s">
        <v>1</v>
      </c>
      <c r="D615" s="352" t="s">
        <v>2</v>
      </c>
      <c r="E615" s="352" t="s">
        <v>3</v>
      </c>
      <c r="F615" s="461" t="s">
        <v>4</v>
      </c>
      <c r="G615" s="356"/>
      <c r="H615" s="352" t="s">
        <v>5</v>
      </c>
    </row>
    <row r="616" spans="1:8" ht="57.75" customHeight="1">
      <c r="A616" s="357"/>
      <c r="B616" s="420"/>
      <c r="C616" s="357"/>
      <c r="D616" s="357"/>
      <c r="E616" s="357"/>
      <c r="F616" s="359" t="s">
        <v>6</v>
      </c>
      <c r="G616" s="360" t="s">
        <v>7</v>
      </c>
      <c r="H616" s="357"/>
    </row>
    <row r="617" spans="1:8">
      <c r="A617" s="385">
        <v>288</v>
      </c>
      <c r="B617" s="362" t="s">
        <v>9</v>
      </c>
      <c r="C617" s="375" t="s">
        <v>50</v>
      </c>
      <c r="D617" s="376" t="s">
        <v>2609</v>
      </c>
      <c r="E617" s="402">
        <f>2800*1.07</f>
        <v>2996</v>
      </c>
      <c r="F617" s="366" t="s">
        <v>2596</v>
      </c>
      <c r="G617" s="401" t="s">
        <v>2610</v>
      </c>
      <c r="H617" s="361">
        <v>1</v>
      </c>
    </row>
    <row r="618" spans="1:8">
      <c r="A618" s="385"/>
      <c r="B618" s="369"/>
      <c r="C618" s="448"/>
      <c r="D618" s="433" t="s">
        <v>138</v>
      </c>
      <c r="E618" s="432"/>
      <c r="F618" s="368"/>
      <c r="G618" s="441"/>
      <c r="H618" s="368"/>
    </row>
    <row r="619" spans="1:8">
      <c r="A619" s="412">
        <v>289</v>
      </c>
      <c r="B619" s="406" t="s">
        <v>9</v>
      </c>
      <c r="C619" s="375" t="s">
        <v>159</v>
      </c>
      <c r="D619" s="376" t="s">
        <v>2611</v>
      </c>
      <c r="E619" s="402">
        <f>37000*1.07</f>
        <v>39590</v>
      </c>
      <c r="F619" s="366" t="s">
        <v>2596</v>
      </c>
      <c r="G619" s="401" t="s">
        <v>2612</v>
      </c>
      <c r="H619" s="361">
        <v>1</v>
      </c>
    </row>
    <row r="620" spans="1:8">
      <c r="A620" s="369"/>
      <c r="B620" s="369"/>
      <c r="C620" s="457"/>
      <c r="D620" s="376" t="s">
        <v>2613</v>
      </c>
      <c r="E620" s="398"/>
      <c r="F620" s="368"/>
      <c r="G620" s="441"/>
      <c r="H620" s="379"/>
    </row>
    <row r="621" spans="1:8">
      <c r="A621" s="385">
        <v>290</v>
      </c>
      <c r="B621" s="406" t="s">
        <v>9</v>
      </c>
      <c r="C621" s="363" t="s">
        <v>159</v>
      </c>
      <c r="D621" s="387" t="s">
        <v>2614</v>
      </c>
      <c r="E621" s="458">
        <f>4860*1.07</f>
        <v>5200.2000000000007</v>
      </c>
      <c r="F621" s="366" t="s">
        <v>2596</v>
      </c>
      <c r="G621" s="401" t="s">
        <v>2615</v>
      </c>
      <c r="H621" s="361">
        <v>1</v>
      </c>
    </row>
    <row r="622" spans="1:8">
      <c r="A622" s="385"/>
      <c r="B622" s="385"/>
      <c r="C622" s="457"/>
      <c r="D622" s="389" t="s">
        <v>19</v>
      </c>
      <c r="E622" s="408"/>
      <c r="F622" s="379"/>
      <c r="G622" s="455"/>
      <c r="H622" s="368"/>
    </row>
    <row r="623" spans="1:8">
      <c r="A623" s="412">
        <v>291</v>
      </c>
      <c r="B623" s="395" t="s">
        <v>854</v>
      </c>
      <c r="C623" s="387" t="s">
        <v>1310</v>
      </c>
      <c r="D623" s="415" t="s">
        <v>2616</v>
      </c>
      <c r="E623" s="365">
        <f>40615*1.07</f>
        <v>43458.05</v>
      </c>
      <c r="F623" s="366" t="s">
        <v>2596</v>
      </c>
      <c r="G623" s="367" t="s">
        <v>2617</v>
      </c>
      <c r="H623" s="361">
        <v>1</v>
      </c>
    </row>
    <row r="624" spans="1:8">
      <c r="A624" s="369"/>
      <c r="B624" s="369"/>
      <c r="C624" s="454"/>
      <c r="D624" s="437"/>
      <c r="E624" s="372"/>
      <c r="F624" s="368"/>
      <c r="G624" s="440"/>
      <c r="H624" s="368"/>
    </row>
    <row r="625" spans="1:8">
      <c r="A625" s="361">
        <v>292</v>
      </c>
      <c r="B625" s="361" t="s">
        <v>1439</v>
      </c>
      <c r="C625" s="415" t="s">
        <v>163</v>
      </c>
      <c r="D625" s="459" t="s">
        <v>2618</v>
      </c>
      <c r="E625" s="365">
        <f>5250*1.07</f>
        <v>5617.5</v>
      </c>
      <c r="F625" s="366" t="s">
        <v>2619</v>
      </c>
      <c r="G625" s="416" t="s">
        <v>2620</v>
      </c>
      <c r="H625" s="361">
        <v>1</v>
      </c>
    </row>
    <row r="626" spans="1:8">
      <c r="A626" s="368"/>
      <c r="B626" s="368"/>
      <c r="C626" s="448"/>
      <c r="D626" s="460" t="s">
        <v>138</v>
      </c>
      <c r="E626" s="372"/>
      <c r="F626" s="368"/>
      <c r="G626" s="441"/>
      <c r="H626" s="368"/>
    </row>
    <row r="627" spans="1:8">
      <c r="A627" s="412">
        <v>293</v>
      </c>
      <c r="B627" s="379" t="s">
        <v>1439</v>
      </c>
      <c r="C627" s="400" t="s">
        <v>163</v>
      </c>
      <c r="D627" s="386" t="s">
        <v>2621</v>
      </c>
      <c r="E627" s="402">
        <f>3000*1.07</f>
        <v>3210</v>
      </c>
      <c r="F627" s="366" t="s">
        <v>2619</v>
      </c>
      <c r="G627" s="401" t="s">
        <v>2622</v>
      </c>
      <c r="H627" s="361">
        <v>1</v>
      </c>
    </row>
    <row r="628" spans="1:8">
      <c r="A628" s="369"/>
      <c r="B628" s="368"/>
      <c r="C628" s="448"/>
      <c r="D628" s="388" t="s">
        <v>2623</v>
      </c>
      <c r="E628" s="432"/>
      <c r="F628" s="368"/>
      <c r="G628" s="441"/>
      <c r="H628" s="368"/>
    </row>
    <row r="629" spans="1:8">
      <c r="A629" s="412">
        <v>294</v>
      </c>
      <c r="B629" s="380" t="s">
        <v>141</v>
      </c>
      <c r="C629" s="400" t="s">
        <v>142</v>
      </c>
      <c r="D629" s="387" t="s">
        <v>1433</v>
      </c>
      <c r="E629" s="402">
        <f>4140*1.07</f>
        <v>4429.8</v>
      </c>
      <c r="F629" s="366" t="s">
        <v>2619</v>
      </c>
      <c r="G629" s="401" t="s">
        <v>2624</v>
      </c>
      <c r="H629" s="361">
        <v>1</v>
      </c>
    </row>
    <row r="630" spans="1:8">
      <c r="A630" s="369"/>
      <c r="B630" s="453"/>
      <c r="C630" s="417"/>
      <c r="D630" s="372"/>
      <c r="E630" s="462"/>
      <c r="F630" s="434"/>
      <c r="G630" s="405"/>
      <c r="H630" s="368"/>
    </row>
    <row r="631" spans="1:8">
      <c r="A631" s="412">
        <v>295</v>
      </c>
      <c r="B631" s="380" t="s">
        <v>955</v>
      </c>
      <c r="C631" s="400" t="s">
        <v>2625</v>
      </c>
      <c r="D631" s="376" t="s">
        <v>2626</v>
      </c>
      <c r="E631" s="458">
        <f>64600*1.07</f>
        <v>69122</v>
      </c>
      <c r="F631" s="366" t="s">
        <v>2619</v>
      </c>
      <c r="G631" s="401" t="s">
        <v>2627</v>
      </c>
      <c r="H631" s="361">
        <v>1</v>
      </c>
    </row>
    <row r="632" spans="1:8">
      <c r="A632" s="369"/>
      <c r="B632" s="453"/>
      <c r="C632" s="417"/>
      <c r="D632" s="372" t="s">
        <v>2628</v>
      </c>
      <c r="E632" s="428"/>
      <c r="F632" s="434"/>
      <c r="G632" s="405"/>
      <c r="H632" s="368"/>
    </row>
    <row r="633" spans="1:8">
      <c r="A633" s="412">
        <v>296</v>
      </c>
      <c r="B633" s="325" t="s">
        <v>124</v>
      </c>
      <c r="C633" s="400" t="s">
        <v>290</v>
      </c>
      <c r="D633" s="376" t="s">
        <v>2629</v>
      </c>
      <c r="E633" s="463">
        <f>67900*1.07</f>
        <v>72653</v>
      </c>
      <c r="F633" s="366" t="s">
        <v>2619</v>
      </c>
      <c r="G633" s="401" t="s">
        <v>2630</v>
      </c>
      <c r="H633" s="361">
        <v>1</v>
      </c>
    </row>
    <row r="634" spans="1:8">
      <c r="A634" s="369"/>
      <c r="B634" s="453"/>
      <c r="C634" s="417"/>
      <c r="D634" s="433" t="s">
        <v>138</v>
      </c>
      <c r="E634" s="428"/>
      <c r="F634" s="434"/>
      <c r="G634" s="405"/>
      <c r="H634" s="368"/>
    </row>
    <row r="635" spans="1:8">
      <c r="A635" s="412">
        <v>297</v>
      </c>
      <c r="B635" s="447" t="s">
        <v>100</v>
      </c>
      <c r="C635" s="400" t="s">
        <v>101</v>
      </c>
      <c r="D635" s="376" t="s">
        <v>2631</v>
      </c>
      <c r="E635" s="463">
        <f>59200*1.07</f>
        <v>63344.000000000007</v>
      </c>
      <c r="F635" s="366" t="s">
        <v>2619</v>
      </c>
      <c r="G635" s="401" t="s">
        <v>2632</v>
      </c>
      <c r="H635" s="361">
        <v>1</v>
      </c>
    </row>
    <row r="636" spans="1:8">
      <c r="A636" s="369"/>
      <c r="B636" s="453"/>
      <c r="C636" s="417"/>
      <c r="D636" s="372"/>
      <c r="E636" s="428"/>
      <c r="F636" s="434"/>
      <c r="G636" s="405"/>
      <c r="H636" s="368"/>
    </row>
    <row r="637" spans="1:8">
      <c r="A637" s="412">
        <v>298</v>
      </c>
      <c r="B637" s="394" t="s">
        <v>1189</v>
      </c>
      <c r="C637" s="415" t="s">
        <v>1190</v>
      </c>
      <c r="D637" s="387" t="s">
        <v>2633</v>
      </c>
      <c r="E637" s="458">
        <f>42000*1.07</f>
        <v>44940</v>
      </c>
      <c r="F637" s="366" t="s">
        <v>2619</v>
      </c>
      <c r="G637" s="416" t="s">
        <v>2634</v>
      </c>
      <c r="H637" s="361">
        <v>1</v>
      </c>
    </row>
    <row r="638" spans="1:8">
      <c r="A638" s="369"/>
      <c r="B638" s="453"/>
      <c r="C638" s="417"/>
      <c r="D638" s="433" t="s">
        <v>138</v>
      </c>
      <c r="E638" s="428"/>
      <c r="F638" s="434"/>
      <c r="G638" s="405"/>
      <c r="H638" s="368"/>
    </row>
    <row r="639" spans="1:8">
      <c r="A639" s="412">
        <v>299</v>
      </c>
      <c r="B639" s="380" t="s">
        <v>1564</v>
      </c>
      <c r="C639" s="400" t="s">
        <v>1565</v>
      </c>
      <c r="D639" s="386" t="s">
        <v>2635</v>
      </c>
      <c r="E639" s="458">
        <f>76081*1.07</f>
        <v>81406.67</v>
      </c>
      <c r="F639" s="366" t="s">
        <v>2619</v>
      </c>
      <c r="G639" s="401" t="s">
        <v>2636</v>
      </c>
      <c r="H639" s="361">
        <v>1</v>
      </c>
    </row>
    <row r="640" spans="1:8">
      <c r="A640" s="369"/>
      <c r="B640" s="453"/>
      <c r="C640" s="417"/>
      <c r="D640" s="433" t="s">
        <v>2637</v>
      </c>
      <c r="E640" s="428"/>
      <c r="F640" s="434"/>
      <c r="G640" s="405"/>
      <c r="H640" s="368"/>
    </row>
    <row r="641" spans="1:8">
      <c r="A641" s="412">
        <v>300</v>
      </c>
      <c r="B641" s="362" t="s">
        <v>9</v>
      </c>
      <c r="C641" s="387" t="s">
        <v>50</v>
      </c>
      <c r="D641" s="376" t="s">
        <v>2638</v>
      </c>
      <c r="E641" s="463">
        <f>3420*1.07</f>
        <v>3659.4</v>
      </c>
      <c r="F641" s="366" t="s">
        <v>2619</v>
      </c>
      <c r="G641" s="401" t="s">
        <v>2639</v>
      </c>
      <c r="H641" s="361">
        <v>1</v>
      </c>
    </row>
    <row r="642" spans="1:8">
      <c r="A642" s="369"/>
      <c r="B642" s="444"/>
      <c r="C642" s="388"/>
      <c r="D642" s="433" t="s">
        <v>636</v>
      </c>
      <c r="E642" s="463"/>
      <c r="F642" s="392"/>
      <c r="G642" s="396"/>
      <c r="H642" s="368"/>
    </row>
    <row r="643" spans="1:8">
      <c r="A643" s="412">
        <v>301</v>
      </c>
      <c r="B643" s="384" t="s">
        <v>27</v>
      </c>
      <c r="C643" s="376" t="s">
        <v>28</v>
      </c>
      <c r="D643" s="386" t="s">
        <v>2640</v>
      </c>
      <c r="E643" s="365">
        <f>83500*1.07</f>
        <v>89345</v>
      </c>
      <c r="F643" s="366" t="s">
        <v>2619</v>
      </c>
      <c r="G643" s="367" t="s">
        <v>2641</v>
      </c>
      <c r="H643" s="361">
        <v>1</v>
      </c>
    </row>
    <row r="644" spans="1:8">
      <c r="A644" s="369"/>
      <c r="B644" s="464"/>
      <c r="C644" s="388"/>
      <c r="D644" s="376" t="s">
        <v>2642</v>
      </c>
      <c r="E644" s="443"/>
      <c r="F644" s="434"/>
      <c r="G644" s="373"/>
      <c r="H644" s="368"/>
    </row>
    <row r="645" spans="1:8">
      <c r="A645" s="412">
        <v>302</v>
      </c>
      <c r="B645" s="362" t="s">
        <v>9</v>
      </c>
      <c r="C645" s="376" t="s">
        <v>159</v>
      </c>
      <c r="D645" s="387" t="s">
        <v>2643</v>
      </c>
      <c r="E645" s="463">
        <f>31308*1.07</f>
        <v>33499.560000000005</v>
      </c>
      <c r="F645" s="366" t="s">
        <v>2619</v>
      </c>
      <c r="G645" s="401" t="s">
        <v>2644</v>
      </c>
      <c r="H645" s="361">
        <v>1</v>
      </c>
    </row>
    <row r="646" spans="1:8">
      <c r="A646" s="369"/>
      <c r="B646" s="464"/>
      <c r="C646" s="388"/>
      <c r="D646" s="433" t="s">
        <v>138</v>
      </c>
      <c r="E646" s="428"/>
      <c r="F646" s="434"/>
      <c r="G646" s="405"/>
      <c r="H646" s="368"/>
    </row>
    <row r="647" spans="1:8">
      <c r="A647" s="412">
        <v>303</v>
      </c>
      <c r="B647" s="362" t="s">
        <v>9</v>
      </c>
      <c r="C647" s="376" t="s">
        <v>159</v>
      </c>
      <c r="D647" s="386" t="s">
        <v>2645</v>
      </c>
      <c r="E647" s="463">
        <f>7180*1.07</f>
        <v>7682.6</v>
      </c>
      <c r="F647" s="366" t="s">
        <v>2619</v>
      </c>
      <c r="G647" s="401" t="s">
        <v>2646</v>
      </c>
      <c r="H647" s="361">
        <v>1</v>
      </c>
    </row>
    <row r="648" spans="1:8">
      <c r="A648" s="369"/>
      <c r="B648" s="369"/>
      <c r="C648" s="454"/>
      <c r="D648" s="433" t="s">
        <v>349</v>
      </c>
      <c r="E648" s="403"/>
      <c r="F648" s="368"/>
      <c r="G648" s="441"/>
      <c r="H648" s="368"/>
    </row>
    <row r="649" spans="1:8" ht="28.5" customHeight="1">
      <c r="A649" s="352" t="s">
        <v>561</v>
      </c>
      <c r="B649" s="418" t="s">
        <v>0</v>
      </c>
      <c r="C649" s="352" t="s">
        <v>1</v>
      </c>
      <c r="D649" s="352" t="s">
        <v>2</v>
      </c>
      <c r="E649" s="352" t="s">
        <v>3</v>
      </c>
      <c r="F649" s="461" t="s">
        <v>4</v>
      </c>
      <c r="G649" s="356"/>
      <c r="H649" s="352" t="s">
        <v>5</v>
      </c>
    </row>
    <row r="650" spans="1:8" ht="53.25" customHeight="1">
      <c r="A650" s="357"/>
      <c r="B650" s="420"/>
      <c r="C650" s="357"/>
      <c r="D650" s="357"/>
      <c r="E650" s="357"/>
      <c r="F650" s="359" t="s">
        <v>6</v>
      </c>
      <c r="G650" s="360" t="s">
        <v>7</v>
      </c>
      <c r="H650" s="357"/>
    </row>
    <row r="651" spans="1:8">
      <c r="A651" s="412">
        <v>304</v>
      </c>
      <c r="B651" s="406" t="s">
        <v>9</v>
      </c>
      <c r="C651" s="400" t="s">
        <v>159</v>
      </c>
      <c r="D651" s="386" t="s">
        <v>2647</v>
      </c>
      <c r="E651" s="402">
        <f>12000*1.07</f>
        <v>12840</v>
      </c>
      <c r="F651" s="366" t="s">
        <v>2619</v>
      </c>
      <c r="G651" s="401" t="s">
        <v>2648</v>
      </c>
      <c r="H651" s="361">
        <v>1</v>
      </c>
    </row>
    <row r="652" spans="1:8">
      <c r="A652" s="369"/>
      <c r="B652" s="368"/>
      <c r="C652" s="450"/>
      <c r="D652" s="433"/>
      <c r="E652" s="403"/>
      <c r="F652" s="368"/>
      <c r="G652" s="441"/>
      <c r="H652" s="368"/>
    </row>
    <row r="653" spans="1:8">
      <c r="A653" s="412">
        <v>305</v>
      </c>
      <c r="B653" s="394" t="s">
        <v>1189</v>
      </c>
      <c r="C653" s="400" t="s">
        <v>1190</v>
      </c>
      <c r="D653" s="386" t="s">
        <v>2649</v>
      </c>
      <c r="E653" s="402">
        <f>92000*1.07</f>
        <v>98440</v>
      </c>
      <c r="F653" s="366" t="s">
        <v>2619</v>
      </c>
      <c r="G653" s="401" t="s">
        <v>2650</v>
      </c>
      <c r="H653" s="361">
        <v>1</v>
      </c>
    </row>
    <row r="654" spans="1:8">
      <c r="A654" s="369"/>
      <c r="B654" s="379"/>
      <c r="C654" s="451"/>
      <c r="D654" s="376" t="s">
        <v>2651</v>
      </c>
      <c r="E654" s="408"/>
      <c r="F654" s="379"/>
      <c r="G654" s="455"/>
      <c r="H654" s="368"/>
    </row>
    <row r="655" spans="1:8">
      <c r="A655" s="412">
        <v>306</v>
      </c>
      <c r="B655" s="362" t="s">
        <v>9</v>
      </c>
      <c r="C655" s="387" t="s">
        <v>2652</v>
      </c>
      <c r="D655" s="387" t="s">
        <v>2653</v>
      </c>
      <c r="E655" s="409">
        <f>3500*1.07</f>
        <v>3745</v>
      </c>
      <c r="F655" s="366" t="s">
        <v>2619</v>
      </c>
      <c r="G655" s="367" t="s">
        <v>2654</v>
      </c>
      <c r="H655" s="361">
        <v>1</v>
      </c>
    </row>
    <row r="656" spans="1:8">
      <c r="A656" s="369"/>
      <c r="B656" s="369"/>
      <c r="C656" s="454"/>
      <c r="D656" s="433"/>
      <c r="E656" s="403"/>
      <c r="F656" s="368"/>
      <c r="G656" s="440"/>
      <c r="H656" s="368"/>
    </row>
    <row r="657" spans="1:8">
      <c r="A657" s="412">
        <v>307</v>
      </c>
      <c r="B657" s="380" t="s">
        <v>2655</v>
      </c>
      <c r="C657" s="387" t="s">
        <v>2656</v>
      </c>
      <c r="D657" s="387" t="s">
        <v>2657</v>
      </c>
      <c r="E657" s="409">
        <f>14400*1.07</f>
        <v>15408</v>
      </c>
      <c r="F657" s="366" t="s">
        <v>2619</v>
      </c>
      <c r="G657" s="416" t="s">
        <v>2658</v>
      </c>
      <c r="H657" s="361">
        <v>1</v>
      </c>
    </row>
    <row r="658" spans="1:8">
      <c r="A658" s="369"/>
      <c r="B658" s="368"/>
      <c r="C658" s="454"/>
      <c r="D658" s="433"/>
      <c r="E658" s="403"/>
      <c r="F658" s="368"/>
      <c r="G658" s="441"/>
      <c r="H658" s="368"/>
    </row>
    <row r="659" spans="1:8">
      <c r="A659" s="412">
        <v>308</v>
      </c>
      <c r="B659" s="380" t="s">
        <v>141</v>
      </c>
      <c r="C659" s="387" t="s">
        <v>142</v>
      </c>
      <c r="D659" s="387" t="s">
        <v>2478</v>
      </c>
      <c r="E659" s="409">
        <f>8650*1.07</f>
        <v>9255.5</v>
      </c>
      <c r="F659" s="366" t="s">
        <v>2619</v>
      </c>
      <c r="G659" s="416" t="s">
        <v>2659</v>
      </c>
      <c r="H659" s="361">
        <v>1</v>
      </c>
    </row>
    <row r="660" spans="1:8">
      <c r="A660" s="369"/>
      <c r="B660" s="369"/>
      <c r="C660" s="454"/>
      <c r="D660" s="433" t="s">
        <v>138</v>
      </c>
      <c r="E660" s="403"/>
      <c r="F660" s="368"/>
      <c r="G660" s="441"/>
      <c r="H660" s="368"/>
    </row>
    <row r="661" spans="1:8">
      <c r="A661" s="412">
        <v>309</v>
      </c>
      <c r="B661" s="362" t="s">
        <v>9</v>
      </c>
      <c r="C661" s="387" t="s">
        <v>10</v>
      </c>
      <c r="D661" s="387" t="s">
        <v>2660</v>
      </c>
      <c r="E661" s="409">
        <f>20240*1.07</f>
        <v>21656.800000000003</v>
      </c>
      <c r="F661" s="366" t="s">
        <v>2619</v>
      </c>
      <c r="G661" s="416" t="s">
        <v>2661</v>
      </c>
      <c r="H661" s="361">
        <v>1</v>
      </c>
    </row>
    <row r="662" spans="1:8">
      <c r="A662" s="369"/>
      <c r="B662" s="369"/>
      <c r="C662" s="454"/>
      <c r="D662" s="433" t="s">
        <v>353</v>
      </c>
      <c r="E662" s="403"/>
      <c r="F662" s="368"/>
      <c r="G662" s="441"/>
      <c r="H662" s="368"/>
    </row>
    <row r="663" spans="1:8">
      <c r="A663" s="412">
        <v>310</v>
      </c>
      <c r="B663" s="427" t="s">
        <v>14</v>
      </c>
      <c r="C663" s="400" t="s">
        <v>15</v>
      </c>
      <c r="D663" s="376" t="s">
        <v>2662</v>
      </c>
      <c r="E663" s="402">
        <f>39140*1.07</f>
        <v>41879.800000000003</v>
      </c>
      <c r="F663" s="366" t="s">
        <v>2619</v>
      </c>
      <c r="G663" s="401" t="s">
        <v>2663</v>
      </c>
      <c r="H663" s="361">
        <v>1</v>
      </c>
    </row>
    <row r="664" spans="1:8">
      <c r="A664" s="369"/>
      <c r="B664" s="368"/>
      <c r="C664" s="450"/>
      <c r="D664" s="433" t="s">
        <v>2664</v>
      </c>
      <c r="E664" s="403"/>
      <c r="F664" s="368"/>
      <c r="G664" s="441"/>
      <c r="H664" s="368"/>
    </row>
    <row r="665" spans="1:8">
      <c r="A665" s="412">
        <v>311</v>
      </c>
      <c r="B665" s="394" t="s">
        <v>967</v>
      </c>
      <c r="C665" s="400" t="s">
        <v>2297</v>
      </c>
      <c r="D665" s="387" t="s">
        <v>2665</v>
      </c>
      <c r="E665" s="402">
        <f>28800*1.07</f>
        <v>30816</v>
      </c>
      <c r="F665" s="366" t="s">
        <v>2666</v>
      </c>
      <c r="G665" s="401" t="s">
        <v>2667</v>
      </c>
      <c r="H665" s="361">
        <v>1</v>
      </c>
    </row>
    <row r="666" spans="1:8">
      <c r="A666" s="369"/>
      <c r="B666" s="379"/>
      <c r="C666" s="451"/>
      <c r="D666" s="376" t="s">
        <v>2668</v>
      </c>
      <c r="E666" s="408"/>
      <c r="F666" s="379"/>
      <c r="G666" s="455"/>
      <c r="H666" s="368"/>
    </row>
    <row r="667" spans="1:8">
      <c r="A667" s="412">
        <v>312</v>
      </c>
      <c r="B667" s="380" t="s">
        <v>2388</v>
      </c>
      <c r="C667" s="415" t="s">
        <v>2389</v>
      </c>
      <c r="D667" s="387" t="s">
        <v>2669</v>
      </c>
      <c r="E667" s="409">
        <f>80000*1.07</f>
        <v>85600</v>
      </c>
      <c r="F667" s="366" t="s">
        <v>2666</v>
      </c>
      <c r="G667" s="416" t="s">
        <v>2670</v>
      </c>
      <c r="H667" s="361">
        <v>1</v>
      </c>
    </row>
    <row r="668" spans="1:8">
      <c r="A668" s="369"/>
      <c r="B668" s="368"/>
      <c r="C668" s="450"/>
      <c r="D668" s="433" t="s">
        <v>2671</v>
      </c>
      <c r="E668" s="403"/>
      <c r="F668" s="368"/>
      <c r="G668" s="441"/>
      <c r="H668" s="368"/>
    </row>
    <row r="669" spans="1:8">
      <c r="A669" s="412">
        <v>313</v>
      </c>
      <c r="B669" s="362" t="s">
        <v>54</v>
      </c>
      <c r="C669" s="387" t="s">
        <v>243</v>
      </c>
      <c r="D669" s="387" t="s">
        <v>2672</v>
      </c>
      <c r="E669" s="365">
        <f>1680*1.07</f>
        <v>1797.6000000000001</v>
      </c>
      <c r="F669" s="366" t="s">
        <v>2666</v>
      </c>
      <c r="G669" s="416" t="s">
        <v>2673</v>
      </c>
      <c r="H669" s="361">
        <v>1</v>
      </c>
    </row>
    <row r="670" spans="1:8">
      <c r="A670" s="369"/>
      <c r="B670" s="369"/>
      <c r="C670" s="454"/>
      <c r="D670" s="433"/>
      <c r="E670" s="372"/>
      <c r="F670" s="368"/>
      <c r="G670" s="441"/>
      <c r="H670" s="368"/>
    </row>
    <row r="671" spans="1:8" ht="28.5" thickBot="1">
      <c r="E671" s="477">
        <f>SUM(E6:E670)</f>
        <v>19087882.634300005</v>
      </c>
    </row>
    <row r="672" spans="1:8" ht="28.5" thickTop="1"/>
    <row r="673" spans="4:4">
      <c r="D673" s="476"/>
    </row>
  </sheetData>
  <mergeCells count="140">
    <mergeCell ref="F649:G649"/>
    <mergeCell ref="H649:H650"/>
    <mergeCell ref="A649:A650"/>
    <mergeCell ref="B649:B650"/>
    <mergeCell ref="C649:C650"/>
    <mergeCell ref="D649:D650"/>
    <mergeCell ref="E649:E650"/>
    <mergeCell ref="F581:G581"/>
    <mergeCell ref="H581:H582"/>
    <mergeCell ref="A615:A616"/>
    <mergeCell ref="B615:B616"/>
    <mergeCell ref="C615:C616"/>
    <mergeCell ref="D615:D616"/>
    <mergeCell ref="E615:E616"/>
    <mergeCell ref="F615:G615"/>
    <mergeCell ref="H615:H616"/>
    <mergeCell ref="A581:A582"/>
    <mergeCell ref="B581:B582"/>
    <mergeCell ref="C581:C582"/>
    <mergeCell ref="D581:D582"/>
    <mergeCell ref="E581:E582"/>
    <mergeCell ref="F479:G479"/>
    <mergeCell ref="H479:H480"/>
    <mergeCell ref="A513:A514"/>
    <mergeCell ref="B513:B514"/>
    <mergeCell ref="C513:C514"/>
    <mergeCell ref="D513:D514"/>
    <mergeCell ref="E513:E514"/>
    <mergeCell ref="F513:G513"/>
    <mergeCell ref="H513:H514"/>
    <mergeCell ref="A479:A480"/>
    <mergeCell ref="B479:B480"/>
    <mergeCell ref="C479:C480"/>
    <mergeCell ref="D479:D480"/>
    <mergeCell ref="E479:E480"/>
    <mergeCell ref="A547:A548"/>
    <mergeCell ref="B547:B548"/>
    <mergeCell ref="C547:C548"/>
    <mergeCell ref="D547:D548"/>
    <mergeCell ref="E547:E548"/>
    <mergeCell ref="F547:G547"/>
    <mergeCell ref="H547:H548"/>
    <mergeCell ref="A445:A446"/>
    <mergeCell ref="B445:B446"/>
    <mergeCell ref="C445:C446"/>
    <mergeCell ref="D445:D446"/>
    <mergeCell ref="E445:E446"/>
    <mergeCell ref="F445:G445"/>
    <mergeCell ref="H445:H446"/>
    <mergeCell ref="F341:G341"/>
    <mergeCell ref="H341:H342"/>
    <mergeCell ref="A411:A412"/>
    <mergeCell ref="B411:B412"/>
    <mergeCell ref="C411:C412"/>
    <mergeCell ref="D411:D412"/>
    <mergeCell ref="E411:E412"/>
    <mergeCell ref="F411:G411"/>
    <mergeCell ref="H411:H412"/>
    <mergeCell ref="C375:C376"/>
    <mergeCell ref="D375:D376"/>
    <mergeCell ref="E375:E376"/>
    <mergeCell ref="C341:C342"/>
    <mergeCell ref="D341:D342"/>
    <mergeCell ref="E341:E342"/>
    <mergeCell ref="A35:A36"/>
    <mergeCell ref="B35:B36"/>
    <mergeCell ref="C35:C36"/>
    <mergeCell ref="D35:D36"/>
    <mergeCell ref="E35:E36"/>
    <mergeCell ref="A341:A342"/>
    <mergeCell ref="B341:B342"/>
    <mergeCell ref="F375:G375"/>
    <mergeCell ref="H375:H376"/>
    <mergeCell ref="H273:H274"/>
    <mergeCell ref="A307:A308"/>
    <mergeCell ref="B307:B308"/>
    <mergeCell ref="C307:C308"/>
    <mergeCell ref="D307:D308"/>
    <mergeCell ref="E307:E308"/>
    <mergeCell ref="F307:G307"/>
    <mergeCell ref="H307:H308"/>
    <mergeCell ref="A273:A274"/>
    <mergeCell ref="B273:B274"/>
    <mergeCell ref="A375:A376"/>
    <mergeCell ref="B375:B376"/>
    <mergeCell ref="C273:C274"/>
    <mergeCell ref="D273:D274"/>
    <mergeCell ref="E273:E274"/>
    <mergeCell ref="F273:G273"/>
    <mergeCell ref="H205:H206"/>
    <mergeCell ref="F239:G239"/>
    <mergeCell ref="H239:H240"/>
    <mergeCell ref="F205:G205"/>
    <mergeCell ref="A239:A240"/>
    <mergeCell ref="B239:B240"/>
    <mergeCell ref="C239:C240"/>
    <mergeCell ref="D239:D240"/>
    <mergeCell ref="E239:E240"/>
    <mergeCell ref="A205:A206"/>
    <mergeCell ref="B205:B206"/>
    <mergeCell ref="C205:C206"/>
    <mergeCell ref="D205:D206"/>
    <mergeCell ref="E205:E206"/>
    <mergeCell ref="A171:A172"/>
    <mergeCell ref="B171:B172"/>
    <mergeCell ref="C171:C172"/>
    <mergeCell ref="D171:D172"/>
    <mergeCell ref="E171:E172"/>
    <mergeCell ref="F171:G171"/>
    <mergeCell ref="H171:H172"/>
    <mergeCell ref="H103:H104"/>
    <mergeCell ref="A137:A138"/>
    <mergeCell ref="B137:B138"/>
    <mergeCell ref="C137:C138"/>
    <mergeCell ref="D137:D138"/>
    <mergeCell ref="E137:E138"/>
    <mergeCell ref="F137:G137"/>
    <mergeCell ref="H137:H138"/>
    <mergeCell ref="A103:A104"/>
    <mergeCell ref="B103:B104"/>
    <mergeCell ref="C103:C104"/>
    <mergeCell ref="D103:D104"/>
    <mergeCell ref="E103:E104"/>
    <mergeCell ref="F103:G103"/>
    <mergeCell ref="F69:G69"/>
    <mergeCell ref="H69:H70"/>
    <mergeCell ref="A4:A5"/>
    <mergeCell ref="B4:B5"/>
    <mergeCell ref="C4:C5"/>
    <mergeCell ref="D4:D5"/>
    <mergeCell ref="E4:E5"/>
    <mergeCell ref="F4:G4"/>
    <mergeCell ref="H4:H5"/>
    <mergeCell ref="A69:A70"/>
    <mergeCell ref="B69:B70"/>
    <mergeCell ref="C69:C70"/>
    <mergeCell ref="D69:D70"/>
    <mergeCell ref="E69:E70"/>
    <mergeCell ref="F35:G35"/>
    <mergeCell ref="H35:H36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ไตรมาส1</vt:lpstr>
      <vt:lpstr>ไตรมาส2</vt:lpstr>
      <vt:lpstr>ไตรมาส3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2021-07-05T07:54:54Z</dcterms:modified>
</cp:coreProperties>
</file>